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WSTĘP" sheetId="1" r:id="rId1"/>
    <sheet name="DANE_WYNIKI" sheetId="2" r:id="rId2"/>
    <sheet name="OBLICZENIA" sheetId="3" r:id="rId3"/>
  </sheets>
  <definedNames>
    <definedName name="B">'DANE_WYNIKI'!$C$8</definedName>
    <definedName name="beta">'OBLICZENIA'!$Q$2</definedName>
    <definedName name="bz">'DANE_WYNIKI'!$C$25</definedName>
    <definedName name="db">'OBLICZENIA'!$W$2</definedName>
    <definedName name="dh">'OBLICZENIA'!$L$2</definedName>
    <definedName name="DL">'OBLICZENIA'!$I$2</definedName>
    <definedName name="Draft">'OBLICZENIA'!$T$5:$U$105</definedName>
    <definedName name="DT">'OBLICZENIA'!$F$2</definedName>
    <definedName name="FF">'OBLICZENIA'!$AC$2</definedName>
    <definedName name="h">'DANE_WYNIKI'!$C$27</definedName>
    <definedName name="hmw">'DANE_WYNIKI'!$C$31</definedName>
    <definedName name="hmx">'DANE_WYNIKI'!$C$29</definedName>
    <definedName name="hpo">'OBLICZENIA'!$Z$2</definedName>
    <definedName name="Lpp">'DANE_WYNIKI'!$C$6</definedName>
    <definedName name="lr">'DANE_WYNIKI'!$C$35</definedName>
    <definedName name="lz">'DANE_WYNIKI'!$C$23</definedName>
    <definedName name="PLANE">'OBLICZENIA'!$S$5:$T$105</definedName>
    <definedName name="pro">'OBLICZENIA'!$AH$1</definedName>
    <definedName name="R">'DANE_WYNIKI'!$C$33</definedName>
    <definedName name="s">'DANE_WYNIKI'!$C$39</definedName>
    <definedName name="t">'OBLICZENIA'!$C$2</definedName>
    <definedName name="Td">'DANE_WYNIKI'!$C$10</definedName>
    <definedName name="Tl">'DANE_WYNIKI'!$C$16</definedName>
    <definedName name="Tp">'DANE_WYNIKI'!$C$14</definedName>
    <definedName name="Tr">'DANE_WYNIKI'!$C$12</definedName>
    <definedName name="tru">'OBLICZENIA'!$S$2</definedName>
    <definedName name="yr">'DANE_WYNIKI'!$C$37</definedName>
    <definedName name="z">'DANE_WYNIKI'!$C$43</definedName>
  </definedNames>
  <calcPr fullCalcOnLoad="1"/>
</workbook>
</file>

<file path=xl/sharedStrings.xml><?xml version="1.0" encoding="utf-8"?>
<sst xmlns="http://schemas.openxmlformats.org/spreadsheetml/2006/main" count="126" uniqueCount="101">
  <si>
    <t>DANE  STATKU</t>
  </si>
  <si>
    <t>Lpp=</t>
  </si>
  <si>
    <t>B=</t>
  </si>
  <si>
    <t>Td=</t>
  </si>
  <si>
    <t>Tr=</t>
  </si>
  <si>
    <t>Tp=</t>
  </si>
  <si>
    <t>Tl=</t>
  </si>
  <si>
    <t>DANE  ZBIORNIKA</t>
  </si>
  <si>
    <t>lz=</t>
  </si>
  <si>
    <t>bz=</t>
  </si>
  <si>
    <t>h=</t>
  </si>
  <si>
    <t>R=</t>
  </si>
  <si>
    <t>lr=</t>
  </si>
  <si>
    <t>yr=</t>
  </si>
  <si>
    <t>Zbiornik lewa(l)/prawa(p) burta=</t>
  </si>
  <si>
    <t>m</t>
  </si>
  <si>
    <t>s=</t>
  </si>
  <si>
    <t>z=</t>
  </si>
  <si>
    <t>t=</t>
  </si>
  <si>
    <t>DT=</t>
  </si>
  <si>
    <t>DL=</t>
  </si>
  <si>
    <t>hmx=</t>
  </si>
  <si>
    <t>dh=</t>
  </si>
  <si>
    <t>a=</t>
  </si>
  <si>
    <t>b=</t>
  </si>
  <si>
    <t>c=</t>
  </si>
  <si>
    <t>a</t>
  </si>
  <si>
    <t>b</t>
  </si>
  <si>
    <t>c</t>
  </si>
  <si>
    <t>(del)^2</t>
  </si>
  <si>
    <t>x</t>
  </si>
  <si>
    <t>y</t>
  </si>
  <si>
    <t>alfa</t>
  </si>
  <si>
    <t>dodat</t>
  </si>
  <si>
    <t>prost</t>
  </si>
  <si>
    <t>F</t>
  </si>
  <si>
    <t>O/4=</t>
  </si>
  <si>
    <t>cor</t>
  </si>
  <si>
    <t>beta=</t>
  </si>
  <si>
    <t>db=</t>
  </si>
  <si>
    <t>hmw=</t>
  </si>
  <si>
    <t>tru=</t>
  </si>
  <si>
    <t>SONDA</t>
  </si>
  <si>
    <t>T</t>
  </si>
  <si>
    <t>dL</t>
  </si>
  <si>
    <t>(del)^0,5</t>
  </si>
  <si>
    <t>hpo=</t>
  </si>
  <si>
    <t>yw</t>
  </si>
  <si>
    <t>F2</t>
  </si>
  <si>
    <t>Fo=</t>
  </si>
  <si>
    <t>Ft=</t>
  </si>
  <si>
    <t>F1</t>
  </si>
  <si>
    <t>sektor</t>
  </si>
  <si>
    <t>trojkat</t>
  </si>
  <si>
    <t>FF=</t>
  </si>
  <si>
    <t>dd=</t>
  </si>
  <si>
    <t>Δb</t>
  </si>
  <si>
    <t>Δb2</t>
  </si>
  <si>
    <t>Prostokąt lub trapez</t>
  </si>
  <si>
    <t>x4</t>
  </si>
  <si>
    <t>x5</t>
  </si>
  <si>
    <t>tr_mx=</t>
  </si>
  <si>
    <t>burtowy</t>
  </si>
  <si>
    <t>pro=</t>
  </si>
  <si>
    <t>?</t>
  </si>
  <si>
    <t>??????</t>
  </si>
  <si>
    <t>R=0</t>
  </si>
  <si>
    <t>Długość statku między pionami</t>
  </si>
  <si>
    <t>Szerokość statku</t>
  </si>
  <si>
    <t>Zanurzenie na pionie dziobowym</t>
  </si>
  <si>
    <t>Zanurzenie na  pinie rufowym</t>
  </si>
  <si>
    <t>Zanurzenie na prawej burcie</t>
  </si>
  <si>
    <t>Zanurzenie na lewej burcie</t>
  </si>
  <si>
    <t>Długość zbiornika</t>
  </si>
  <si>
    <t>Szerokość zbiornika w dnie</t>
  </si>
  <si>
    <t>Wysokość zbiornika (dna podwójnego)</t>
  </si>
  <si>
    <t>Wysokość zbiornika przy burcie</t>
  </si>
  <si>
    <t>Wysokość zbiornia ( = h)</t>
  </si>
  <si>
    <t>Promień krzywizny zbiornka</t>
  </si>
  <si>
    <t>Odległość rury sondażowej od grodzi rufowej</t>
  </si>
  <si>
    <t>Odległość rury sondażowej od grodzi wewnętrznej</t>
  </si>
  <si>
    <t>Wynik sondowania zbiornika</t>
  </si>
  <si>
    <t>Sondowanie odpowiadające statkowi na równej stępce i bez przechyłu.</t>
  </si>
  <si>
    <t>Korygowanie poziomu cieczy w zbiorniku przy przechyle i przegłębieniu do poziomu statku na równej stępce i bez przechyłu.</t>
  </si>
  <si>
    <t>Jerzy Kabaciński</t>
  </si>
  <si>
    <t>Określanie skorygowanego poziomu cieczy w zbiorniu na statku z przechyłem</t>
  </si>
  <si>
    <t>i przegłębieniem</t>
  </si>
  <si>
    <t>Program służy do określania skorygowanego poziomu cieczy w zbiorniku znajdującym się w obrę-</t>
  </si>
  <si>
    <t xml:space="preserve">bie wstawki cylindrycznej na statku z przechyłem i przegłębieniem. Dobierając odpowiednie </t>
  </si>
  <si>
    <t xml:space="preserve">wymiary zbiornika można dokonać obliczeń dla zbiorników o kształtach jakie pokazano na </t>
  </si>
  <si>
    <t>poniższym rysunku. Przekrój poprzeczny zbiornika na całej długości musi być stały. W prze-</t>
  </si>
  <si>
    <t>ciwnym przypadku wystąpią niedokładonści.</t>
  </si>
  <si>
    <t xml:space="preserve"> W obliczeniach założono, że rura sondażowa jest prosta i wchodzi prostopadle do zbiornika.</t>
  </si>
  <si>
    <t xml:space="preserve"> Położenie rury sondażowej podać należy od grodzi rufowej (lr) i od grodzi wewnętrznej (yr).</t>
  </si>
  <si>
    <t>Jeżeli obliczenia dotyczą zbiornika środkowego to mamy dwie możliwości a mianowicie:</t>
  </si>
  <si>
    <t>zadeklarować go jako zbiornik prawy (p) i położenie rury podać od grodzi lewej lub jako zbiornik</t>
  </si>
  <si>
    <t>lewy i wówczas podać odległość od grodzi prawej.</t>
  </si>
  <si>
    <t>Objętość cieczy brutto</t>
  </si>
  <si>
    <r>
      <t>m</t>
    </r>
    <r>
      <rPr>
        <b/>
        <vertAlign val="superscript"/>
        <sz val="10"/>
        <rFont val="Arial"/>
        <family val="2"/>
      </rPr>
      <t>3</t>
    </r>
  </si>
  <si>
    <t>p</t>
  </si>
  <si>
    <r>
      <t>h</t>
    </r>
    <r>
      <rPr>
        <b/>
        <vertAlign val="subscript"/>
        <sz val="10"/>
        <color indexed="9"/>
        <rFont val="Arial"/>
        <family val="0"/>
      </rPr>
      <t>prz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</si>
</sst>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000"/>
    <numFmt numFmtId="166" formatCode="0.0000"/>
    <numFmt numFmtId="167" formatCode="0.0000000"/>
    <numFmt numFmtId="168" formatCode="0.00000"/>
    <numFmt numFmtId="169" formatCode="0.00000000"/>
    <numFmt numFmtId="170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6"/>
      <color indexed="9"/>
      <name val="Arial"/>
      <family val="0"/>
    </font>
    <font>
      <b/>
      <vertAlign val="subscript"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2" fontId="2" fillId="34" borderId="13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>
      <alignment/>
    </xf>
    <xf numFmtId="0" fontId="3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 hidden="1"/>
    </xf>
    <xf numFmtId="0" fontId="0" fillId="35" borderId="14" xfId="0" applyFill="1" applyBorder="1" applyAlignment="1" applyProtection="1">
      <alignment horizontal="left"/>
      <protection hidden="1"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right"/>
      <protection hidden="1"/>
    </xf>
    <xf numFmtId="0" fontId="2" fillId="35" borderId="19" xfId="0" applyFont="1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0" xfId="0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 hidden="1"/>
    </xf>
    <xf numFmtId="2" fontId="0" fillId="35" borderId="0" xfId="0" applyNumberForma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horizontal="right"/>
    </xf>
    <xf numFmtId="0" fontId="3" fillId="35" borderId="0" xfId="0" applyFont="1" applyFill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64" fontId="2" fillId="33" borderId="11" xfId="0" applyNumberFormat="1" applyFont="1" applyFill="1" applyBorder="1" applyAlignment="1" applyProtection="1">
      <alignment horizontal="center"/>
      <protection hidden="1"/>
    </xf>
    <xf numFmtId="164" fontId="2" fillId="33" borderId="2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/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3" fillId="0" borderId="17" xfId="0" applyNumberFormat="1" applyFont="1" applyBorder="1" applyAlignment="1" applyProtection="1">
      <alignment horizontal="center"/>
      <protection hidden="1"/>
    </xf>
    <xf numFmtId="164" fontId="3" fillId="0" borderId="24" xfId="0" applyNumberFormat="1" applyFont="1" applyBorder="1" applyAlignment="1" applyProtection="1">
      <alignment horizontal="center"/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14" xfId="0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20" xfId="0" applyFill="1" applyBorder="1" applyAlignment="1" applyProtection="1">
      <alignment horizontal="left"/>
      <protection/>
    </xf>
    <xf numFmtId="0" fontId="2" fillId="36" borderId="10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36" borderId="21" xfId="0" applyFont="1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Przekrój poprzeczny zbiornika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675"/>
          <c:w val="0.95775"/>
          <c:h val="0.730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DANE_WYNIKI!$K$4:$K$32</c:f>
              <c:numCache/>
            </c:numRef>
          </c:xVal>
          <c:yVal>
            <c:numRef>
              <c:f>DANE_WYNIKI!$L$4:$L$32</c:f>
              <c:numCache/>
            </c:numRef>
          </c:yVal>
          <c:smooth val="0"/>
        </c:ser>
        <c:axId val="41447370"/>
        <c:axId val="37482011"/>
      </c:scatterChart>
      <c:valAx>
        <c:axId val="4144737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crossBetween val="midCat"/>
        <c:dispUnits/>
        <c:majorUnit val="1"/>
      </c:valAx>
      <c:valAx>
        <c:axId val="37482011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 powierzchni zwilżonych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075"/>
          <c:w val="0.9097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DANE_WYNIKI!$R$3:$R$103</c:f>
              <c:numCache/>
            </c:numRef>
          </c:cat>
          <c:val>
            <c:numRef>
              <c:f>DANE_WYNIKI!$S$3:$S$103</c:f>
              <c:numCache/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Nr przekroju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 val="autoZero"/>
        <c:auto val="1"/>
        <c:lblOffset val="100"/>
        <c:tickLblSkip val="10"/>
        <c:tickMarkSkip val="10"/>
        <c:noMultiLvlLbl val="0"/>
      </c:catAx>
      <c:valAx>
        <c:axId val="1614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152400</xdr:rowOff>
    </xdr:from>
    <xdr:to>
      <xdr:col>16</xdr:col>
      <xdr:colOff>600075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5343525" y="504825"/>
        <a:ext cx="45815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18</xdr:row>
      <xdr:rowOff>38100</xdr:rowOff>
    </xdr:from>
    <xdr:to>
      <xdr:col>17</xdr:col>
      <xdr:colOff>66675</xdr:colOff>
      <xdr:row>40</xdr:row>
      <xdr:rowOff>161925</xdr:rowOff>
    </xdr:to>
    <xdr:graphicFrame>
      <xdr:nvGraphicFramePr>
        <xdr:cNvPr id="2" name="Chart 8"/>
        <xdr:cNvGraphicFramePr/>
      </xdr:nvGraphicFramePr>
      <xdr:xfrm>
        <a:off x="5372100" y="2447925"/>
        <a:ext cx="4629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J27" sqref="J27"/>
    </sheetView>
  </sheetViews>
  <sheetFormatPr defaultColWidth="9.140625" defaultRowHeight="12.75"/>
  <sheetData>
    <row r="1" spans="1:22" ht="12.75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2.75">
      <c r="A3" s="100" t="s">
        <v>86</v>
      </c>
      <c r="B3" s="10"/>
      <c r="C3" s="10"/>
      <c r="D3" s="10"/>
      <c r="E3" s="10"/>
      <c r="F3" s="10"/>
      <c r="G3" s="10"/>
      <c r="H3" s="10"/>
      <c r="I3" s="10"/>
      <c r="J3" s="1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2.75">
      <c r="A4" s="10"/>
      <c r="B4" s="10"/>
      <c r="C4" s="10"/>
      <c r="D4" s="10"/>
      <c r="E4" s="10"/>
      <c r="F4" s="10"/>
      <c r="G4" s="10"/>
      <c r="H4" s="10"/>
      <c r="I4" s="10"/>
      <c r="J4" s="1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 s="10" t="s">
        <v>87</v>
      </c>
      <c r="B5" s="10"/>
      <c r="C5" s="10"/>
      <c r="D5" s="10"/>
      <c r="E5" s="10"/>
      <c r="F5" s="10"/>
      <c r="G5" s="10"/>
      <c r="H5" s="10"/>
      <c r="I5" s="10"/>
      <c r="J5" s="1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2.75">
      <c r="A6" s="10" t="s">
        <v>88</v>
      </c>
      <c r="B6" s="10"/>
      <c r="C6" s="10"/>
      <c r="D6" s="10"/>
      <c r="E6" s="10"/>
      <c r="F6" s="10"/>
      <c r="G6" s="10"/>
      <c r="H6" s="10"/>
      <c r="I6" s="10"/>
      <c r="J6" s="1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10" t="s">
        <v>89</v>
      </c>
      <c r="B7" s="10"/>
      <c r="C7" s="10"/>
      <c r="D7" s="10"/>
      <c r="E7" s="10"/>
      <c r="F7" s="10"/>
      <c r="G7" s="10"/>
      <c r="H7" s="10"/>
      <c r="I7" s="10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>
      <c r="A8" s="10" t="s">
        <v>90</v>
      </c>
      <c r="B8" s="10"/>
      <c r="C8" s="10"/>
      <c r="D8" s="10"/>
      <c r="E8" s="10"/>
      <c r="F8" s="10"/>
      <c r="G8" s="10"/>
      <c r="H8" s="10"/>
      <c r="I8" s="10"/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 s="10" t="s">
        <v>91</v>
      </c>
      <c r="B9" s="10"/>
      <c r="C9" s="10"/>
      <c r="D9" s="10"/>
      <c r="E9" s="10"/>
      <c r="F9" s="10"/>
      <c r="G9" s="10"/>
      <c r="H9" s="10"/>
      <c r="I9" s="10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10" t="s">
        <v>93</v>
      </c>
      <c r="B11" s="10"/>
      <c r="C11" s="10"/>
      <c r="D11" s="10"/>
      <c r="E11" s="10"/>
      <c r="F11" s="10"/>
      <c r="G11" s="10"/>
      <c r="H11" s="10"/>
      <c r="I11" s="10"/>
      <c r="J11" s="1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10" t="s">
        <v>94</v>
      </c>
      <c r="B12" s="10"/>
      <c r="C12" s="10"/>
      <c r="D12" s="10"/>
      <c r="E12" s="10"/>
      <c r="F12" s="10"/>
      <c r="G12" s="10"/>
      <c r="H12" s="10"/>
      <c r="I12" s="10"/>
      <c r="J12" s="1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10" t="s">
        <v>95</v>
      </c>
      <c r="B13" s="10"/>
      <c r="C13" s="10"/>
      <c r="D13" s="10"/>
      <c r="E13" s="10"/>
      <c r="F13" s="10"/>
      <c r="G13" s="10"/>
      <c r="H13" s="10"/>
      <c r="I13" s="10"/>
      <c r="J13" s="11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>
      <c r="A14" s="10" t="s">
        <v>96</v>
      </c>
      <c r="B14" s="10"/>
      <c r="C14" s="10"/>
      <c r="D14" s="10"/>
      <c r="E14" s="10"/>
      <c r="F14" s="10"/>
      <c r="G14" s="10"/>
      <c r="H14" s="10"/>
      <c r="I14" s="10"/>
      <c r="J14" s="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0"/>
      <c r="B39" s="10"/>
      <c r="C39" s="10"/>
      <c r="D39" s="10"/>
      <c r="E39" s="10"/>
      <c r="F39" s="10"/>
      <c r="G39" s="10"/>
      <c r="H39" s="10"/>
      <c r="I39" s="10"/>
      <c r="J39" s="1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10"/>
      <c r="B40" s="10"/>
      <c r="C40" s="10"/>
      <c r="D40" s="10"/>
      <c r="E40" s="10"/>
      <c r="F40" s="10"/>
      <c r="G40" s="10"/>
      <c r="H40" s="10"/>
      <c r="I40" s="10"/>
      <c r="J40" s="1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10"/>
      <c r="B41" s="10"/>
      <c r="C41" s="10"/>
      <c r="D41" s="10"/>
      <c r="E41" s="10"/>
      <c r="F41" s="10"/>
      <c r="G41" s="10"/>
      <c r="H41" s="10"/>
      <c r="I41" s="10"/>
      <c r="J41" s="1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10"/>
      <c r="B44" s="10"/>
      <c r="C44" s="10"/>
      <c r="D44" s="10"/>
      <c r="E44" s="10"/>
      <c r="F44" s="10"/>
      <c r="G44" s="10"/>
      <c r="H44" s="10"/>
      <c r="I44" s="10"/>
      <c r="J44" s="1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0"/>
      <c r="B46" s="10"/>
      <c r="C46" s="10"/>
      <c r="D46" s="10"/>
      <c r="E46" s="10"/>
      <c r="F46" s="10"/>
      <c r="G46" s="10"/>
      <c r="H46" s="10"/>
      <c r="I46" s="10"/>
      <c r="J46" s="1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0"/>
      <c r="J48" s="1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1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1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1:22" ht="12.7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1:22" ht="12.7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1:22" ht="12.7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1:22" ht="12.7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1:22" ht="12.7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1:22" ht="12.7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1:22" ht="12.75"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1:22" ht="12.75"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1:22" ht="12.75"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1:22" ht="12.75"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1:22" ht="12.75"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1:22" ht="12.75"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1:22" ht="12.75"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1:22" ht="12.75"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1:22" ht="12.75"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1:22" ht="12.75"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1:22" ht="12.75"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</sheetData>
  <sheetProtection password="E15D" sheet="1" objects="1" scenarios="1"/>
  <printOptions/>
  <pageMargins left="0.75" right="0.75" top="1" bottom="1" header="0.5" footer="0.5"/>
  <pageSetup orientation="portrait" paperSize="9" r:id="rId3"/>
  <legacyDrawing r:id="rId2"/>
  <oleObjects>
    <oleObject progId="CorelDRAW.Graphic.13" shapeId="138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4" max="4" width="6.140625" style="0" customWidth="1"/>
    <col min="10" max="10" width="9.7109375" style="0" bestFit="1" customWidth="1"/>
    <col min="11" max="11" width="11.140625" style="0" customWidth="1"/>
    <col min="12" max="12" width="7.57421875" style="0" customWidth="1"/>
    <col min="15" max="15" width="4.7109375" style="0" customWidth="1"/>
  </cols>
  <sheetData>
    <row r="1" spans="1:2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13"/>
      <c r="B2" s="101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thickBot="1">
      <c r="A3" s="10"/>
      <c r="B3" s="10"/>
      <c r="C3" s="10"/>
      <c r="D3" s="10"/>
      <c r="E3" s="10"/>
      <c r="F3" s="10"/>
      <c r="G3" s="10"/>
      <c r="H3" s="10"/>
      <c r="I3" s="10"/>
      <c r="J3" s="15"/>
      <c r="K3" s="35" t="s">
        <v>30</v>
      </c>
      <c r="L3" s="35" t="s">
        <v>31</v>
      </c>
      <c r="M3" s="10"/>
      <c r="N3" s="10"/>
      <c r="O3" s="10"/>
      <c r="P3" s="10"/>
      <c r="Q3" s="10"/>
      <c r="R3" s="58">
        <v>0</v>
      </c>
      <c r="S3" s="14">
        <f>2*OBLICZENIA!BF5</f>
        <v>0.031106041434807066</v>
      </c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2.75">
      <c r="A4" s="10"/>
      <c r="B4" s="114" t="s">
        <v>0</v>
      </c>
      <c r="C4" s="115"/>
      <c r="D4" s="22"/>
      <c r="E4" s="22"/>
      <c r="F4" s="22"/>
      <c r="G4" s="22"/>
      <c r="H4" s="22"/>
      <c r="I4" s="25"/>
      <c r="J4" s="12">
        <v>0</v>
      </c>
      <c r="K4" s="12">
        <f>IF(E$21="p",J4,-J4)</f>
        <v>0</v>
      </c>
      <c r="L4" s="12">
        <v>0</v>
      </c>
      <c r="M4" s="13"/>
      <c r="N4" s="10"/>
      <c r="O4" s="10"/>
      <c r="P4" s="10"/>
      <c r="Q4" s="10"/>
      <c r="R4" s="58">
        <f>R3+1</f>
        <v>1</v>
      </c>
      <c r="S4" s="14">
        <f>OBLICZENIA!BF6</f>
        <v>0.03192105921974968</v>
      </c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2.75">
      <c r="A5" s="10"/>
      <c r="B5" s="23"/>
      <c r="C5" s="16"/>
      <c r="D5" s="16"/>
      <c r="E5" s="16"/>
      <c r="F5" s="16"/>
      <c r="G5" s="16"/>
      <c r="H5" s="16"/>
      <c r="I5" s="26"/>
      <c r="J5" s="12">
        <f>bz</f>
        <v>6</v>
      </c>
      <c r="K5" s="12">
        <f>IF(E$21="p",J5,-J5)</f>
        <v>6</v>
      </c>
      <c r="L5" s="12">
        <v>0</v>
      </c>
      <c r="M5" s="13"/>
      <c r="N5" s="10"/>
      <c r="O5" s="10"/>
      <c r="P5" s="10"/>
      <c r="Q5" s="10"/>
      <c r="R5" s="58">
        <f aca="true" t="shared" si="0" ref="R5:R68">R4+1</f>
        <v>2</v>
      </c>
      <c r="S5" s="14">
        <f>OBLICZENIA!BF7</f>
        <v>0.03274638098641525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0"/>
      <c r="B6" s="27" t="s">
        <v>1</v>
      </c>
      <c r="C6" s="7">
        <v>110</v>
      </c>
      <c r="D6" s="18" t="s">
        <v>15</v>
      </c>
      <c r="E6" s="105" t="s">
        <v>67</v>
      </c>
      <c r="F6" s="105"/>
      <c r="G6" s="105"/>
      <c r="H6" s="105"/>
      <c r="I6" s="106"/>
      <c r="J6" s="12">
        <f aca="true" t="shared" si="1" ref="J6:J24">ROUND((J5+R/20),4)</f>
        <v>6.15</v>
      </c>
      <c r="K6" s="12">
        <f aca="true" t="shared" si="2" ref="K6:K29">IF(E$21="p",J6,-J6)</f>
        <v>6.15</v>
      </c>
      <c r="L6" s="12">
        <f aca="true" t="shared" si="3" ref="L6:L26">IF(R=0,(h),R-(((R^2-(ROUND(J$5-J6,4)^2))^0.5)))</f>
        <v>0.0037523466842732667</v>
      </c>
      <c r="M6" s="13"/>
      <c r="N6" s="10"/>
      <c r="O6" s="10"/>
      <c r="P6" s="10"/>
      <c r="Q6" s="10"/>
      <c r="R6" s="58">
        <f t="shared" si="0"/>
        <v>3</v>
      </c>
      <c r="S6" s="14">
        <f>OBLICZENIA!BF8</f>
        <v>0.033582002479966525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" customHeight="1">
      <c r="A7" s="10"/>
      <c r="B7" s="28"/>
      <c r="C7" s="2"/>
      <c r="D7" s="16"/>
      <c r="E7" s="16"/>
      <c r="F7" s="16"/>
      <c r="G7" s="16"/>
      <c r="H7" s="16"/>
      <c r="I7" s="26"/>
      <c r="J7" s="12">
        <f t="shared" si="1"/>
        <v>6.3</v>
      </c>
      <c r="K7" s="12">
        <f t="shared" si="2"/>
        <v>6.3</v>
      </c>
      <c r="L7" s="12">
        <f t="shared" si="3"/>
        <v>0.015037688680139993</v>
      </c>
      <c r="M7" s="13"/>
      <c r="N7" s="10"/>
      <c r="O7" s="10"/>
      <c r="P7" s="10"/>
      <c r="Q7" s="10"/>
      <c r="R7" s="58">
        <f t="shared" si="0"/>
        <v>4</v>
      </c>
      <c r="S7" s="14">
        <f>OBLICZENIA!BF9</f>
        <v>0.034427919528825304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2.75">
      <c r="A8" s="10"/>
      <c r="B8" s="27" t="s">
        <v>2</v>
      </c>
      <c r="C8" s="7">
        <v>13</v>
      </c>
      <c r="D8" s="18" t="s">
        <v>15</v>
      </c>
      <c r="E8" s="105" t="s">
        <v>68</v>
      </c>
      <c r="F8" s="105"/>
      <c r="G8" s="105"/>
      <c r="H8" s="105"/>
      <c r="I8" s="106"/>
      <c r="J8" s="12">
        <f t="shared" si="1"/>
        <v>6.45</v>
      </c>
      <c r="K8" s="12">
        <f t="shared" si="2"/>
        <v>6.45</v>
      </c>
      <c r="L8" s="12">
        <f t="shared" si="3"/>
        <v>0.03394201000722186</v>
      </c>
      <c r="M8" s="13"/>
      <c r="N8" s="10"/>
      <c r="O8" s="10"/>
      <c r="P8" s="10"/>
      <c r="Q8" s="10"/>
      <c r="R8" s="58">
        <f t="shared" si="0"/>
        <v>5</v>
      </c>
      <c r="S8" s="14">
        <f>OBLICZENIA!BF10</f>
        <v>0.035284128041844054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6" customHeight="1">
      <c r="A9" s="10"/>
      <c r="B9" s="28"/>
      <c r="C9" s="2"/>
      <c r="D9" s="16"/>
      <c r="E9" s="16"/>
      <c r="F9" s="16"/>
      <c r="G9" s="16"/>
      <c r="H9" s="16"/>
      <c r="I9" s="26"/>
      <c r="J9" s="12">
        <f t="shared" si="1"/>
        <v>6.6</v>
      </c>
      <c r="K9" s="12">
        <f t="shared" si="2"/>
        <v>6.6</v>
      </c>
      <c r="L9" s="12">
        <f t="shared" si="3"/>
        <v>0.06061230866018619</v>
      </c>
      <c r="M9" s="13"/>
      <c r="N9" s="10"/>
      <c r="O9" s="10"/>
      <c r="P9" s="10"/>
      <c r="Q9" s="10"/>
      <c r="R9" s="58">
        <f t="shared" si="0"/>
        <v>6</v>
      </c>
      <c r="S9" s="14">
        <f>OBLICZENIA!BF11</f>
        <v>0.03615062400608514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2.75">
      <c r="A10" s="10"/>
      <c r="B10" s="27" t="s">
        <v>3</v>
      </c>
      <c r="C10" s="7">
        <v>5.15</v>
      </c>
      <c r="D10" s="18" t="s">
        <v>15</v>
      </c>
      <c r="E10" s="105" t="s">
        <v>69</v>
      </c>
      <c r="F10" s="105"/>
      <c r="G10" s="105"/>
      <c r="H10" s="105"/>
      <c r="I10" s="106"/>
      <c r="J10" s="12">
        <f t="shared" si="1"/>
        <v>6.75</v>
      </c>
      <c r="K10" s="12">
        <f t="shared" si="2"/>
        <v>6.75</v>
      </c>
      <c r="L10" s="12">
        <f t="shared" si="3"/>
        <v>0.09526249034443746</v>
      </c>
      <c r="M10" s="13"/>
      <c r="N10" s="10"/>
      <c r="O10" s="10"/>
      <c r="P10" s="10"/>
      <c r="Q10" s="10"/>
      <c r="R10" s="58">
        <f t="shared" si="0"/>
        <v>7</v>
      </c>
      <c r="S10" s="14">
        <f>OBLICZENIA!BF12</f>
        <v>0.03702740348398005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5.25" customHeight="1">
      <c r="A11" s="10"/>
      <c r="B11" s="28"/>
      <c r="C11" s="2"/>
      <c r="D11" s="16"/>
      <c r="E11" s="16"/>
      <c r="F11" s="16"/>
      <c r="G11" s="16"/>
      <c r="H11" s="16"/>
      <c r="I11" s="26"/>
      <c r="J11" s="12">
        <f t="shared" si="1"/>
        <v>6.9</v>
      </c>
      <c r="K11" s="12">
        <f t="shared" si="2"/>
        <v>6.9</v>
      </c>
      <c r="L11" s="12">
        <f t="shared" si="3"/>
        <v>0.13818239574916324</v>
      </c>
      <c r="M11" s="13"/>
      <c r="N11" s="10"/>
      <c r="O11" s="10"/>
      <c r="P11" s="10"/>
      <c r="Q11" s="10"/>
      <c r="R11" s="58">
        <f t="shared" si="0"/>
        <v>8</v>
      </c>
      <c r="S11" s="14">
        <f>OBLICZENIA!BF13</f>
        <v>0.03791446261123358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>
      <c r="A12" s="10"/>
      <c r="B12" s="27" t="s">
        <v>4</v>
      </c>
      <c r="C12" s="7">
        <v>5</v>
      </c>
      <c r="D12" s="18" t="s">
        <v>15</v>
      </c>
      <c r="E12" s="105" t="s">
        <v>70</v>
      </c>
      <c r="F12" s="105"/>
      <c r="G12" s="105"/>
      <c r="H12" s="105"/>
      <c r="I12" s="106"/>
      <c r="J12" s="12">
        <f t="shared" si="1"/>
        <v>7.05</v>
      </c>
      <c r="K12" s="12">
        <f t="shared" si="2"/>
        <v>7.05</v>
      </c>
      <c r="L12" s="12">
        <f t="shared" si="3"/>
        <v>0.18975090072072076</v>
      </c>
      <c r="M12" s="13"/>
      <c r="N12" s="10"/>
      <c r="O12" s="10"/>
      <c r="P12" s="10"/>
      <c r="Q12" s="10"/>
      <c r="R12" s="58">
        <f t="shared" si="0"/>
        <v>9</v>
      </c>
      <c r="S12" s="14">
        <f>OBLICZENIA!BF14</f>
        <v>0.03881179759451241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6.75" customHeight="1">
      <c r="A13" s="10"/>
      <c r="B13" s="28"/>
      <c r="C13" s="2"/>
      <c r="D13" s="16"/>
      <c r="E13" s="16"/>
      <c r="F13" s="16"/>
      <c r="G13" s="16"/>
      <c r="H13" s="16"/>
      <c r="I13" s="26"/>
      <c r="J13" s="12">
        <f t="shared" si="1"/>
        <v>7.2</v>
      </c>
      <c r="K13" s="12">
        <f t="shared" si="2"/>
        <v>7.2</v>
      </c>
      <c r="L13" s="12">
        <f t="shared" si="3"/>
        <v>0.2504545830264959</v>
      </c>
      <c r="M13" s="13"/>
      <c r="N13" s="10"/>
      <c r="O13" s="10"/>
      <c r="P13" s="10"/>
      <c r="Q13" s="10"/>
      <c r="R13" s="58">
        <f t="shared" si="0"/>
        <v>10</v>
      </c>
      <c r="S13" s="14">
        <f>OBLICZENIA!BF15</f>
        <v>0.039719404709206804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>
      <c r="A14" s="10"/>
      <c r="B14" s="27" t="s">
        <v>5</v>
      </c>
      <c r="C14" s="7">
        <v>4.05</v>
      </c>
      <c r="D14" s="18" t="s">
        <v>15</v>
      </c>
      <c r="E14" s="105" t="s">
        <v>71</v>
      </c>
      <c r="F14" s="105"/>
      <c r="G14" s="105"/>
      <c r="H14" s="105"/>
      <c r="I14" s="106"/>
      <c r="J14" s="12">
        <f t="shared" si="1"/>
        <v>7.35</v>
      </c>
      <c r="K14" s="12">
        <f t="shared" si="2"/>
        <v>7.35</v>
      </c>
      <c r="L14" s="12">
        <f t="shared" si="3"/>
        <v>0.3209143350762371</v>
      </c>
      <c r="M14" s="13"/>
      <c r="N14" s="10"/>
      <c r="O14" s="10"/>
      <c r="P14" s="10"/>
      <c r="Q14" s="10"/>
      <c r="R14" s="58">
        <f t="shared" si="0"/>
        <v>11</v>
      </c>
      <c r="S14" s="14">
        <f>OBLICZENIA!BF16</f>
        <v>0.040637280297512374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4.5" customHeight="1">
      <c r="A15" s="10"/>
      <c r="B15" s="28"/>
      <c r="C15" s="2"/>
      <c r="D15" s="16"/>
      <c r="E15" s="16"/>
      <c r="F15" s="16"/>
      <c r="G15" s="16"/>
      <c r="H15" s="16"/>
      <c r="I15" s="26"/>
      <c r="J15" s="12">
        <f t="shared" si="1"/>
        <v>7.5</v>
      </c>
      <c r="K15" s="12">
        <f t="shared" si="2"/>
        <v>7.5</v>
      </c>
      <c r="L15" s="12">
        <f t="shared" si="3"/>
        <v>0.401923788646684</v>
      </c>
      <c r="M15" s="13"/>
      <c r="N15" s="10"/>
      <c r="O15" s="10"/>
      <c r="P15" s="10"/>
      <c r="Q15" s="10"/>
      <c r="R15" s="58">
        <f t="shared" si="0"/>
        <v>12</v>
      </c>
      <c r="S15" s="14">
        <f>OBLICZENIA!BF17</f>
        <v>0.041565420766343196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>
      <c r="A16" s="10"/>
      <c r="B16" s="27" t="s">
        <v>6</v>
      </c>
      <c r="C16" s="7">
        <v>3.95</v>
      </c>
      <c r="D16" s="18" t="s">
        <v>15</v>
      </c>
      <c r="E16" s="105" t="s">
        <v>72</v>
      </c>
      <c r="F16" s="105"/>
      <c r="G16" s="105"/>
      <c r="H16" s="105"/>
      <c r="I16" s="106"/>
      <c r="J16" s="12">
        <f t="shared" si="1"/>
        <v>7.65</v>
      </c>
      <c r="K16" s="12">
        <f t="shared" si="2"/>
        <v>7.65</v>
      </c>
      <c r="L16" s="12">
        <f t="shared" si="3"/>
        <v>0.4945060367264902</v>
      </c>
      <c r="M16" s="13"/>
      <c r="N16" s="10"/>
      <c r="O16" s="10"/>
      <c r="P16" s="10"/>
      <c r="Q16" s="10"/>
      <c r="R16" s="58">
        <f t="shared" si="0"/>
        <v>13</v>
      </c>
      <c r="S16" s="14">
        <f>OBLICZENIA!BF18</f>
        <v>0.0425038225855313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4.5" customHeight="1" thickBot="1">
      <c r="A17" s="10"/>
      <c r="B17" s="30"/>
      <c r="C17" s="31"/>
      <c r="D17" s="32"/>
      <c r="E17" s="32"/>
      <c r="F17" s="32"/>
      <c r="G17" s="32"/>
      <c r="H17" s="32"/>
      <c r="I17" s="33"/>
      <c r="J17" s="12">
        <f t="shared" si="1"/>
        <v>7.8</v>
      </c>
      <c r="K17" s="12">
        <f t="shared" si="2"/>
        <v>7.8</v>
      </c>
      <c r="L17" s="12">
        <f t="shared" si="3"/>
        <v>0.6000000000000001</v>
      </c>
      <c r="M17" s="13"/>
      <c r="N17" s="10"/>
      <c r="O17" s="10"/>
      <c r="P17" s="10"/>
      <c r="Q17" s="10"/>
      <c r="R17" s="58">
        <f t="shared" si="0"/>
        <v>14</v>
      </c>
      <c r="S17" s="14">
        <f>OBLICZENIA!BF19</f>
        <v>0.04345248228589667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2">
        <f t="shared" si="1"/>
        <v>7.95</v>
      </c>
      <c r="K18" s="12">
        <f t="shared" si="2"/>
        <v>7.95</v>
      </c>
      <c r="L18" s="12">
        <f t="shared" si="3"/>
        <v>0.7201973769644003</v>
      </c>
      <c r="M18" s="13"/>
      <c r="N18" s="10"/>
      <c r="O18" s="10"/>
      <c r="P18" s="10"/>
      <c r="Q18" s="10"/>
      <c r="R18" s="58">
        <f t="shared" si="0"/>
        <v>15</v>
      </c>
      <c r="S18" s="14">
        <f>OBLICZENIA!BF20</f>
        <v>0.04441139645757177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>
      <c r="A19" s="10"/>
      <c r="B19" s="114" t="s">
        <v>7</v>
      </c>
      <c r="C19" s="115"/>
      <c r="D19" s="22"/>
      <c r="E19" s="22"/>
      <c r="F19" s="22"/>
      <c r="G19" s="22"/>
      <c r="H19" s="22"/>
      <c r="I19" s="25"/>
      <c r="J19" s="12">
        <f t="shared" si="1"/>
        <v>8.1</v>
      </c>
      <c r="K19" s="12">
        <f t="shared" si="2"/>
        <v>8.1</v>
      </c>
      <c r="L19" s="12">
        <f t="shared" si="3"/>
        <v>0.857571471437145</v>
      </c>
      <c r="M19" s="13"/>
      <c r="N19" s="10"/>
      <c r="O19" s="10"/>
      <c r="P19" s="10"/>
      <c r="Q19" s="10"/>
      <c r="R19" s="58">
        <f t="shared" si="0"/>
        <v>16</v>
      </c>
      <c r="S19" s="14">
        <f>OBLICZENIA!BF21</f>
        <v>0.045380561748400626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.5" thickBot="1">
      <c r="A20" s="10"/>
      <c r="B20" s="23"/>
      <c r="C20" s="16"/>
      <c r="D20" s="16"/>
      <c r="E20" s="16"/>
      <c r="F20" s="16"/>
      <c r="G20" s="16"/>
      <c r="H20" s="16"/>
      <c r="I20" s="26"/>
      <c r="J20" s="12">
        <f t="shared" si="1"/>
        <v>8.25</v>
      </c>
      <c r="K20" s="12">
        <f t="shared" si="2"/>
        <v>8.25</v>
      </c>
      <c r="L20" s="12">
        <f t="shared" si="3"/>
        <v>1.015686516701557</v>
      </c>
      <c r="M20" s="13"/>
      <c r="N20" s="10"/>
      <c r="O20" s="10"/>
      <c r="P20" s="10"/>
      <c r="Q20" s="10"/>
      <c r="R20" s="58">
        <f t="shared" si="0"/>
        <v>17</v>
      </c>
      <c r="S20" s="14">
        <f>OBLICZENIA!BF22</f>
        <v>0.04635997486208879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.5" thickBot="1">
      <c r="A21" s="10"/>
      <c r="B21" s="24" t="s">
        <v>14</v>
      </c>
      <c r="C21" s="18"/>
      <c r="D21" s="18"/>
      <c r="E21" s="8" t="s">
        <v>99</v>
      </c>
      <c r="F21" s="107" t="str">
        <f>IF(E21="p","Zbiornik z prawej burty","Zbiornik z lewej burty")</f>
        <v>Zbiornik z prawej burty</v>
      </c>
      <c r="G21" s="107"/>
      <c r="H21" s="108"/>
      <c r="I21" s="26"/>
      <c r="J21" s="12">
        <f t="shared" si="1"/>
        <v>8.4</v>
      </c>
      <c r="K21" s="12">
        <f t="shared" si="2"/>
        <v>8.4</v>
      </c>
      <c r="L21" s="12">
        <f t="shared" si="3"/>
        <v>1.2</v>
      </c>
      <c r="M21" s="13"/>
      <c r="N21" s="10"/>
      <c r="O21" s="10"/>
      <c r="P21" s="10"/>
      <c r="Q21" s="10"/>
      <c r="R21" s="58">
        <f t="shared" si="0"/>
        <v>18</v>
      </c>
      <c r="S21" s="14">
        <f>OBLICZENIA!BF23</f>
        <v>0.047349632556985044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7.5" customHeight="1">
      <c r="A22" s="10"/>
      <c r="B22" s="23"/>
      <c r="C22" s="16"/>
      <c r="D22" s="16"/>
      <c r="E22" s="16"/>
      <c r="F22" s="16"/>
      <c r="G22" s="16"/>
      <c r="H22" s="16"/>
      <c r="I22" s="26"/>
      <c r="J22" s="12">
        <f t="shared" si="1"/>
        <v>8.55</v>
      </c>
      <c r="K22" s="12">
        <f t="shared" si="2"/>
        <v>8.55</v>
      </c>
      <c r="L22" s="12">
        <f t="shared" si="3"/>
        <v>1.419651937072089</v>
      </c>
      <c r="M22" s="13"/>
      <c r="N22" s="10"/>
      <c r="O22" s="10"/>
      <c r="P22" s="10"/>
      <c r="Q22" s="10"/>
      <c r="R22" s="58">
        <f t="shared" si="0"/>
        <v>19</v>
      </c>
      <c r="S22" s="14">
        <f>OBLICZENIA!BF24</f>
        <v>0.04834953164429087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2.75">
      <c r="A23" s="10"/>
      <c r="B23" s="27" t="s">
        <v>8</v>
      </c>
      <c r="C23" s="7">
        <v>20</v>
      </c>
      <c r="D23" s="18" t="s">
        <v>15</v>
      </c>
      <c r="E23" s="105" t="s">
        <v>73</v>
      </c>
      <c r="F23" s="105"/>
      <c r="G23" s="105"/>
      <c r="H23" s="105"/>
      <c r="I23" s="106"/>
      <c r="J23" s="12">
        <f t="shared" si="1"/>
        <v>8.7</v>
      </c>
      <c r="K23" s="12">
        <f t="shared" si="2"/>
        <v>8.7</v>
      </c>
      <c r="L23" s="12">
        <f t="shared" si="3"/>
        <v>1.6923303169377983</v>
      </c>
      <c r="M23" s="13"/>
      <c r="N23" s="10"/>
      <c r="O23" s="10"/>
      <c r="P23" s="10"/>
      <c r="Q23" s="10"/>
      <c r="R23" s="58">
        <f t="shared" si="0"/>
        <v>20</v>
      </c>
      <c r="S23" s="14">
        <f>OBLICZENIA!BF25</f>
        <v>0.049359668986845295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5.25" customHeight="1">
      <c r="A24" s="10"/>
      <c r="B24" s="28"/>
      <c r="C24" s="2"/>
      <c r="D24" s="16"/>
      <c r="E24" s="19"/>
      <c r="F24" s="19"/>
      <c r="G24" s="19"/>
      <c r="H24" s="19"/>
      <c r="I24" s="20"/>
      <c r="J24" s="12">
        <f t="shared" si="1"/>
        <v>8.85</v>
      </c>
      <c r="K24" s="12">
        <f t="shared" si="2"/>
        <v>8.85</v>
      </c>
      <c r="L24" s="12">
        <f t="shared" si="3"/>
        <v>2.0632503002402407</v>
      </c>
      <c r="M24" s="13"/>
      <c r="N24" s="10"/>
      <c r="O24" s="10"/>
      <c r="P24" s="10"/>
      <c r="Q24" s="10"/>
      <c r="R24" s="58">
        <f t="shared" si="0"/>
        <v>21</v>
      </c>
      <c r="S24" s="14">
        <f>OBLICZENIA!BF26</f>
        <v>0.05038004149759624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2.75">
      <c r="A25" s="10"/>
      <c r="B25" s="27" t="s">
        <v>9</v>
      </c>
      <c r="C25" s="7">
        <v>6</v>
      </c>
      <c r="D25" s="18" t="s">
        <v>15</v>
      </c>
      <c r="E25" s="105" t="s">
        <v>74</v>
      </c>
      <c r="F25" s="105"/>
      <c r="G25" s="105"/>
      <c r="H25" s="105"/>
      <c r="I25" s="106"/>
      <c r="J25" s="12">
        <f>ROUND((J24+R/40),4)</f>
        <v>8.925</v>
      </c>
      <c r="K25" s="12">
        <f t="shared" si="2"/>
        <v>8.925</v>
      </c>
      <c r="L25" s="12">
        <f t="shared" si="3"/>
        <v>2.3333854187013303</v>
      </c>
      <c r="M25" s="13"/>
      <c r="N25" s="10"/>
      <c r="O25" s="10"/>
      <c r="P25" s="10"/>
      <c r="Q25" s="10"/>
      <c r="R25" s="58">
        <f t="shared" si="0"/>
        <v>22</v>
      </c>
      <c r="S25" s="14">
        <f>OBLICZENIA!BF27</f>
        <v>0.051410646138305045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4.5" customHeight="1">
      <c r="A26" s="10"/>
      <c r="B26" s="28"/>
      <c r="C26" s="2"/>
      <c r="D26" s="16"/>
      <c r="E26" s="19"/>
      <c r="F26" s="19"/>
      <c r="G26" s="19"/>
      <c r="H26" s="19"/>
      <c r="I26" s="20"/>
      <c r="J26" s="12">
        <f>ROUND((J25+R/40),4)</f>
        <v>9</v>
      </c>
      <c r="K26" s="12">
        <f t="shared" si="2"/>
        <v>9</v>
      </c>
      <c r="L26" s="12">
        <f t="shared" si="3"/>
        <v>3</v>
      </c>
      <c r="M26" s="13"/>
      <c r="N26" s="10"/>
      <c r="O26" s="10"/>
      <c r="P26" s="10"/>
      <c r="Q26" s="10"/>
      <c r="R26" s="58">
        <f t="shared" si="0"/>
        <v>23</v>
      </c>
      <c r="S26" s="14">
        <f>OBLICZENIA!BF28</f>
        <v>0.052451479918419475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2.75">
      <c r="A27" s="10"/>
      <c r="B27" s="27" t="s">
        <v>10</v>
      </c>
      <c r="C27" s="7">
        <v>2</v>
      </c>
      <c r="D27" s="18" t="s">
        <v>15</v>
      </c>
      <c r="E27" s="105" t="s">
        <v>75</v>
      </c>
      <c r="F27" s="105"/>
      <c r="G27" s="105"/>
      <c r="H27" s="105"/>
      <c r="I27" s="106"/>
      <c r="J27" s="12">
        <f>bz+R</f>
        <v>9</v>
      </c>
      <c r="K27" s="12">
        <f t="shared" si="2"/>
        <v>9</v>
      </c>
      <c r="L27" s="12">
        <f>hmx</f>
        <v>4</v>
      </c>
      <c r="M27" s="13"/>
      <c r="N27" s="10"/>
      <c r="O27" s="10"/>
      <c r="P27" s="10"/>
      <c r="Q27" s="10"/>
      <c r="R27" s="58">
        <f t="shared" si="0"/>
        <v>24</v>
      </c>
      <c r="S27" s="14">
        <f>OBLICZENIA!BF29</f>
        <v>0.05350253989359875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4.5" customHeight="1">
      <c r="A28" s="10"/>
      <c r="B28" s="28"/>
      <c r="C28" s="2"/>
      <c r="D28" s="16"/>
      <c r="E28" s="19"/>
      <c r="F28" s="19"/>
      <c r="G28" s="19"/>
      <c r="H28" s="19"/>
      <c r="I28" s="20"/>
      <c r="J28" s="12">
        <f>bz</f>
        <v>6</v>
      </c>
      <c r="K28" s="12">
        <f t="shared" si="2"/>
        <v>6</v>
      </c>
      <c r="L28" s="12">
        <f>hmw</f>
        <v>2</v>
      </c>
      <c r="M28" s="13"/>
      <c r="N28" s="10"/>
      <c r="O28" s="10"/>
      <c r="P28" s="10"/>
      <c r="Q28" s="10"/>
      <c r="R28" s="58">
        <f t="shared" si="0"/>
        <v>25</v>
      </c>
      <c r="S28" s="14">
        <f>OBLICZENIA!BF30</f>
        <v>0.05456382316471506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2.75">
      <c r="A29" s="10"/>
      <c r="B29" s="27" t="s">
        <v>21</v>
      </c>
      <c r="C29" s="7">
        <v>4</v>
      </c>
      <c r="D29" s="18" t="s">
        <v>15</v>
      </c>
      <c r="E29" s="105" t="s">
        <v>76</v>
      </c>
      <c r="F29" s="105"/>
      <c r="G29" s="105"/>
      <c r="H29" s="105"/>
      <c r="I29" s="106"/>
      <c r="J29" s="12">
        <f>bz</f>
        <v>6</v>
      </c>
      <c r="K29" s="12">
        <f t="shared" si="2"/>
        <v>6</v>
      </c>
      <c r="L29" s="12">
        <f>h</f>
        <v>2</v>
      </c>
      <c r="M29" s="13"/>
      <c r="N29" s="10"/>
      <c r="O29" s="10"/>
      <c r="P29" s="10"/>
      <c r="Q29" s="10"/>
      <c r="R29" s="58">
        <f t="shared" si="0"/>
        <v>26</v>
      </c>
      <c r="S29" s="14">
        <f>OBLICZENIA!BF31</f>
        <v>0.05563532687660093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5.25" customHeight="1">
      <c r="A30" s="10"/>
      <c r="B30" s="28"/>
      <c r="C30" s="2"/>
      <c r="D30" s="16"/>
      <c r="E30" s="19"/>
      <c r="F30" s="19"/>
      <c r="G30" s="19"/>
      <c r="H30" s="19"/>
      <c r="I30" s="20"/>
      <c r="J30" s="12">
        <f>0</f>
        <v>0</v>
      </c>
      <c r="K30" s="12">
        <f>IF(E$21="p",J30,-J30)</f>
        <v>0</v>
      </c>
      <c r="L30" s="12">
        <f>h</f>
        <v>2</v>
      </c>
      <c r="M30" s="13"/>
      <c r="N30" s="10"/>
      <c r="O30" s="10"/>
      <c r="P30" s="10"/>
      <c r="Q30" s="10"/>
      <c r="R30" s="58">
        <f t="shared" si="0"/>
        <v>27</v>
      </c>
      <c r="S30" s="14">
        <f>OBLICZENIA!BF32</f>
        <v>0.056717048216990536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2.75">
      <c r="A31" s="10"/>
      <c r="B31" s="27" t="s">
        <v>40</v>
      </c>
      <c r="C31" s="7">
        <v>2</v>
      </c>
      <c r="D31" s="18" t="s">
        <v>15</v>
      </c>
      <c r="E31" s="105" t="s">
        <v>77</v>
      </c>
      <c r="F31" s="105"/>
      <c r="G31" s="105"/>
      <c r="H31" s="105"/>
      <c r="I31" s="106"/>
      <c r="J31" s="12">
        <f>0</f>
        <v>0</v>
      </c>
      <c r="K31" s="12">
        <f>IF(E$21="p",J31,-J31)</f>
        <v>0</v>
      </c>
      <c r="L31" s="12">
        <v>0</v>
      </c>
      <c r="M31" s="13"/>
      <c r="N31" s="10"/>
      <c r="O31" s="10"/>
      <c r="P31" s="10"/>
      <c r="Q31" s="10"/>
      <c r="R31" s="58">
        <f t="shared" si="0"/>
        <v>28</v>
      </c>
      <c r="S31" s="14">
        <f>OBLICZENIA!BF33</f>
        <v>0.0578089844154695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4.5" customHeight="1">
      <c r="A32" s="10"/>
      <c r="B32" s="28"/>
      <c r="C32" s="2"/>
      <c r="D32" s="16"/>
      <c r="E32" s="19"/>
      <c r="F32" s="19"/>
      <c r="G32" s="19"/>
      <c r="H32" s="19"/>
      <c r="I32" s="20"/>
      <c r="J32" s="39"/>
      <c r="K32" s="39"/>
      <c r="L32" s="39"/>
      <c r="M32" s="13"/>
      <c r="N32" s="10"/>
      <c r="O32" s="10"/>
      <c r="P32" s="10"/>
      <c r="Q32" s="10"/>
      <c r="R32" s="58">
        <f t="shared" si="0"/>
        <v>29</v>
      </c>
      <c r="S32" s="14">
        <f>OBLICZENIA!BF34</f>
        <v>0.058911132742348715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2.75">
      <c r="A33" s="10"/>
      <c r="B33" s="27" t="s">
        <v>11</v>
      </c>
      <c r="C33" s="7">
        <v>3</v>
      </c>
      <c r="D33" s="18" t="s">
        <v>15</v>
      </c>
      <c r="E33" s="105" t="s">
        <v>78</v>
      </c>
      <c r="F33" s="105"/>
      <c r="G33" s="105"/>
      <c r="H33" s="105"/>
      <c r="I33" s="106"/>
      <c r="J33" s="40"/>
      <c r="K33" s="40"/>
      <c r="L33" s="40"/>
      <c r="M33" s="13"/>
      <c r="N33" s="10"/>
      <c r="O33" s="10"/>
      <c r="P33" s="10"/>
      <c r="Q33" s="10"/>
      <c r="R33" s="58">
        <f t="shared" si="0"/>
        <v>30</v>
      </c>
      <c r="S33" s="14">
        <f>OBLICZENIA!BF35</f>
        <v>0.06002349050784542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5.25" customHeight="1">
      <c r="A34" s="10"/>
      <c r="B34" s="28"/>
      <c r="C34" s="2"/>
      <c r="D34" s="16"/>
      <c r="E34" s="19"/>
      <c r="F34" s="19"/>
      <c r="G34" s="19"/>
      <c r="H34" s="19"/>
      <c r="I34" s="20"/>
      <c r="J34" s="15"/>
      <c r="K34" s="15"/>
      <c r="L34" s="15"/>
      <c r="M34" s="10"/>
      <c r="N34" s="10"/>
      <c r="O34" s="10"/>
      <c r="P34" s="10"/>
      <c r="Q34" s="10"/>
      <c r="R34" s="58">
        <f t="shared" si="0"/>
        <v>31</v>
      </c>
      <c r="S34" s="14">
        <f>OBLICZENIA!BF36</f>
        <v>0.06114605506092992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2.75">
      <c r="A35" s="10"/>
      <c r="B35" s="27" t="s">
        <v>12</v>
      </c>
      <c r="C35" s="7">
        <v>0</v>
      </c>
      <c r="D35" s="18" t="s">
        <v>15</v>
      </c>
      <c r="E35" s="105" t="s">
        <v>79</v>
      </c>
      <c r="F35" s="105"/>
      <c r="G35" s="105"/>
      <c r="H35" s="105"/>
      <c r="I35" s="106"/>
      <c r="J35" s="10"/>
      <c r="K35" s="10"/>
      <c r="L35" s="10"/>
      <c r="M35" s="10"/>
      <c r="N35" s="10"/>
      <c r="O35" s="10"/>
      <c r="P35" s="10"/>
      <c r="Q35" s="10"/>
      <c r="R35" s="58">
        <f t="shared" si="0"/>
        <v>32</v>
      </c>
      <c r="S35" s="14">
        <f>OBLICZENIA!BF37</f>
        <v>0.0622788237884727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4.5" customHeight="1">
      <c r="A36" s="10"/>
      <c r="B36" s="28"/>
      <c r="C36" s="2"/>
      <c r="D36" s="16"/>
      <c r="E36" s="19"/>
      <c r="F36" s="19"/>
      <c r="G36" s="19"/>
      <c r="H36" s="19"/>
      <c r="I36" s="20"/>
      <c r="J36" s="10"/>
      <c r="K36" s="10"/>
      <c r="L36" s="10"/>
      <c r="M36" s="10"/>
      <c r="N36" s="10"/>
      <c r="O36" s="10"/>
      <c r="P36" s="10"/>
      <c r="Q36" s="10"/>
      <c r="R36" s="58">
        <f t="shared" si="0"/>
        <v>33</v>
      </c>
      <c r="S36" s="14">
        <f>OBLICZENIA!BF38</f>
        <v>0.06342179411441862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>
      <c r="A37" s="10"/>
      <c r="B37" s="27" t="s">
        <v>13</v>
      </c>
      <c r="C37" s="7">
        <v>6</v>
      </c>
      <c r="D37" s="18" t="s">
        <v>15</v>
      </c>
      <c r="E37" s="105" t="s">
        <v>80</v>
      </c>
      <c r="F37" s="105"/>
      <c r="G37" s="105"/>
      <c r="H37" s="105"/>
      <c r="I37" s="106"/>
      <c r="J37" s="10"/>
      <c r="K37" s="10"/>
      <c r="L37" s="10"/>
      <c r="M37" s="10"/>
      <c r="N37" s="10"/>
      <c r="O37" s="10"/>
      <c r="P37" s="10"/>
      <c r="Q37" s="10"/>
      <c r="R37" s="58">
        <f t="shared" si="0"/>
        <v>34</v>
      </c>
      <c r="S37" s="14">
        <f>OBLICZENIA!BF39</f>
        <v>0.06457496349879899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5.25" customHeight="1" thickBot="1">
      <c r="A38" s="10"/>
      <c r="B38" s="28"/>
      <c r="C38" s="2"/>
      <c r="D38" s="16"/>
      <c r="E38" s="19"/>
      <c r="F38" s="19"/>
      <c r="G38" s="19"/>
      <c r="H38" s="19"/>
      <c r="I38" s="20"/>
      <c r="J38" s="16"/>
      <c r="K38" s="16"/>
      <c r="L38" s="16"/>
      <c r="M38" s="16"/>
      <c r="N38" s="10"/>
      <c r="O38" s="10"/>
      <c r="P38" s="10"/>
      <c r="Q38" s="10"/>
      <c r="R38" s="58">
        <f t="shared" si="0"/>
        <v>35</v>
      </c>
      <c r="S38" s="14">
        <f>OBLICZENIA!BF40</f>
        <v>0.06573832943700886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.5" thickBot="1">
      <c r="A39" s="10"/>
      <c r="B39" s="29" t="s">
        <v>16</v>
      </c>
      <c r="C39" s="9">
        <v>0.02</v>
      </c>
      <c r="D39" s="21" t="s">
        <v>15</v>
      </c>
      <c r="E39" s="109" t="s">
        <v>81</v>
      </c>
      <c r="F39" s="109"/>
      <c r="G39" s="109"/>
      <c r="H39" s="109"/>
      <c r="I39" s="110"/>
      <c r="J39" s="17"/>
      <c r="K39" s="17"/>
      <c r="L39" s="17"/>
      <c r="M39" s="16"/>
      <c r="N39" s="10"/>
      <c r="O39" s="10"/>
      <c r="P39" s="10"/>
      <c r="Q39" s="10"/>
      <c r="R39" s="58">
        <f t="shared" si="0"/>
        <v>36</v>
      </c>
      <c r="S39" s="14">
        <f>OBLICZENIA!BF41</f>
        <v>0.06691188945887604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5.25" customHeight="1" thickBot="1">
      <c r="A40" s="10"/>
      <c r="B40" s="10"/>
      <c r="C40" s="36"/>
      <c r="D40" s="10"/>
      <c r="E40" s="10"/>
      <c r="F40" s="10"/>
      <c r="G40" s="10"/>
      <c r="H40" s="10"/>
      <c r="I40" s="1"/>
      <c r="J40" s="17"/>
      <c r="K40" s="17"/>
      <c r="L40" s="17"/>
      <c r="M40" s="16"/>
      <c r="N40" s="10"/>
      <c r="O40" s="10"/>
      <c r="P40" s="10"/>
      <c r="Q40" s="10"/>
      <c r="R40" s="58">
        <f t="shared" si="0"/>
        <v>37</v>
      </c>
      <c r="S40" s="14">
        <f>OBLICZENIA!BF42</f>
        <v>0.06809564112791618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" customHeight="1" thickBot="1">
      <c r="A41" s="10"/>
      <c r="B41" s="111" t="str">
        <f>IF(s=0,"Objętość cieczy poza zakresem pomiaru może odpowiadać sondażowi:","   ")</f>
        <v>   </v>
      </c>
      <c r="C41" s="112"/>
      <c r="D41" s="112"/>
      <c r="E41" s="112"/>
      <c r="F41" s="112"/>
      <c r="G41" s="112"/>
      <c r="H41" s="112"/>
      <c r="I41" s="113"/>
      <c r="J41" s="17"/>
      <c r="K41" s="17"/>
      <c r="L41" s="17"/>
      <c r="M41" s="16"/>
      <c r="N41" s="10"/>
      <c r="O41" s="10"/>
      <c r="P41" s="10"/>
      <c r="Q41" s="10"/>
      <c r="R41" s="58">
        <f t="shared" si="0"/>
        <v>38</v>
      </c>
      <c r="S41" s="14">
        <f>OBLICZENIA!BF43</f>
        <v>0.06928958204064875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5.25" customHeight="1" thickBot="1">
      <c r="A42" s="10"/>
      <c r="B42" s="10"/>
      <c r="C42" s="10"/>
      <c r="D42" s="10"/>
      <c r="E42" s="10"/>
      <c r="F42" s="10"/>
      <c r="G42" s="10"/>
      <c r="H42" s="10"/>
      <c r="I42" s="10"/>
      <c r="J42" s="17"/>
      <c r="K42" s="17"/>
      <c r="L42" s="17"/>
      <c r="M42" s="16"/>
      <c r="N42" s="10"/>
      <c r="O42" s="10"/>
      <c r="P42" s="10"/>
      <c r="Q42" s="10"/>
      <c r="R42" s="58">
        <f t="shared" si="0"/>
        <v>39</v>
      </c>
      <c r="S42" s="14">
        <f>OBLICZENIA!BF44</f>
        <v>0.0704937098257351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" thickBot="1">
      <c r="A43" s="10"/>
      <c r="B43" s="4" t="s">
        <v>17</v>
      </c>
      <c r="C43" s="5">
        <f>OBLICZENIA!CB48</f>
        <v>0.014012996309066003</v>
      </c>
      <c r="D43" s="6" t="s">
        <v>15</v>
      </c>
      <c r="E43" s="102" t="s">
        <v>82</v>
      </c>
      <c r="F43" s="103"/>
      <c r="G43" s="103"/>
      <c r="H43" s="103"/>
      <c r="I43" s="103"/>
      <c r="J43" s="103"/>
      <c r="K43" s="104"/>
      <c r="L43" s="59"/>
      <c r="M43" s="60" t="s">
        <v>97</v>
      </c>
      <c r="N43" s="61"/>
      <c r="O43" s="61"/>
      <c r="P43" s="62">
        <f>OBLICZENIA!BF106*DL</f>
        <v>1.7729087821684706</v>
      </c>
      <c r="Q43" s="63" t="s">
        <v>98</v>
      </c>
      <c r="R43" s="58">
        <f t="shared" si="0"/>
        <v>40</v>
      </c>
      <c r="S43" s="14">
        <f>OBLICZENIA!BF45</f>
        <v>0.07170802214335986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2.75">
      <c r="A44" s="10"/>
      <c r="B44" s="10"/>
      <c r="C44" s="10"/>
      <c r="D44" s="10"/>
      <c r="E44" s="10"/>
      <c r="F44" s="10"/>
      <c r="G44" s="10"/>
      <c r="H44" s="10"/>
      <c r="I44" s="10"/>
      <c r="J44" s="17"/>
      <c r="K44" s="17"/>
      <c r="L44" s="17"/>
      <c r="M44" s="16"/>
      <c r="N44" s="10"/>
      <c r="O44" s="10"/>
      <c r="P44" s="10"/>
      <c r="Q44" s="10"/>
      <c r="R44" s="58">
        <f t="shared" si="0"/>
        <v>41</v>
      </c>
      <c r="S44" s="14">
        <f>OBLICZENIA!BF46</f>
        <v>0.07293251668445865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2.75">
      <c r="A45" s="10"/>
      <c r="B45" s="10"/>
      <c r="C45" s="10"/>
      <c r="D45" s="10"/>
      <c r="E45" s="10"/>
      <c r="F45" s="10"/>
      <c r="G45" s="10"/>
      <c r="H45" s="10"/>
      <c r="I45" s="10"/>
      <c r="J45" s="17"/>
      <c r="K45" s="17"/>
      <c r="L45" s="17"/>
      <c r="M45" s="16"/>
      <c r="N45" s="10"/>
      <c r="O45" s="10"/>
      <c r="P45" s="10"/>
      <c r="Q45" s="10"/>
      <c r="R45" s="58">
        <f t="shared" si="0"/>
        <v>42</v>
      </c>
      <c r="S45" s="14">
        <f>OBLICZENIA!BF47</f>
        <v>0.07416719117011653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2.75">
      <c r="A46" s="10"/>
      <c r="B46" s="10"/>
      <c r="C46" s="10"/>
      <c r="D46" s="10"/>
      <c r="E46" s="10"/>
      <c r="F46" s="10"/>
      <c r="G46" s="10"/>
      <c r="H46" s="10"/>
      <c r="I46" s="10"/>
      <c r="J46" s="17"/>
      <c r="K46" s="17"/>
      <c r="L46" s="17"/>
      <c r="M46" s="16"/>
      <c r="N46" s="10"/>
      <c r="O46" s="10"/>
      <c r="P46" s="10"/>
      <c r="Q46" s="10"/>
      <c r="R46" s="58">
        <f t="shared" si="0"/>
        <v>43</v>
      </c>
      <c r="S46" s="14">
        <f>OBLICZENIA!BF48</f>
        <v>0.07541204335087986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2.75">
      <c r="A47" s="10"/>
      <c r="B47" s="10"/>
      <c r="C47" s="10"/>
      <c r="D47" s="10"/>
      <c r="E47" s="10"/>
      <c r="F47" s="10"/>
      <c r="G47" s="10"/>
      <c r="H47" s="10"/>
      <c r="I47" s="10"/>
      <c r="J47" s="17"/>
      <c r="K47" s="17"/>
      <c r="L47" s="17"/>
      <c r="M47" s="16"/>
      <c r="N47" s="10"/>
      <c r="O47" s="10"/>
      <c r="P47" s="10"/>
      <c r="Q47" s="10"/>
      <c r="R47" s="58">
        <f t="shared" si="0"/>
        <v>44</v>
      </c>
      <c r="S47" s="14">
        <f>OBLICZENIA!BF49</f>
        <v>0.07666707100612054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>
      <c r="A48" s="10"/>
      <c r="B48" s="10"/>
      <c r="C48" s="10"/>
      <c r="D48" s="10"/>
      <c r="E48" s="10"/>
      <c r="F48" s="10"/>
      <c r="G48" s="10"/>
      <c r="H48" s="10"/>
      <c r="I48" s="10"/>
      <c r="J48" s="17"/>
      <c r="K48" s="17"/>
      <c r="L48" s="17"/>
      <c r="M48" s="16"/>
      <c r="N48" s="10"/>
      <c r="O48" s="10"/>
      <c r="P48" s="10"/>
      <c r="Q48" s="10"/>
      <c r="R48" s="58">
        <f t="shared" si="0"/>
        <v>45</v>
      </c>
      <c r="S48" s="14">
        <f>OBLICZENIA!BF50</f>
        <v>0.07793227194345151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>
      <c r="A49" s="10"/>
      <c r="B49" s="10"/>
      <c r="C49" s="10"/>
      <c r="D49" s="10"/>
      <c r="E49" s="10"/>
      <c r="F49" s="10"/>
      <c r="G49" s="10"/>
      <c r="H49" s="10"/>
      <c r="I49" s="10"/>
      <c r="J49" s="17"/>
      <c r="K49" s="17"/>
      <c r="L49" s="17"/>
      <c r="M49" s="16"/>
      <c r="N49" s="10"/>
      <c r="O49" s="10"/>
      <c r="P49" s="10"/>
      <c r="Q49" s="10"/>
      <c r="R49" s="58">
        <f t="shared" si="0"/>
        <v>46</v>
      </c>
      <c r="S49" s="14">
        <f>OBLICZENIA!BF51</f>
        <v>0.0792076439980693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>
      <c r="A50" s="10"/>
      <c r="B50" s="10"/>
      <c r="C50" s="10"/>
      <c r="D50" s="10"/>
      <c r="E50" s="10"/>
      <c r="F50" s="10"/>
      <c r="G50" s="10"/>
      <c r="H50" s="10"/>
      <c r="I50" s="10"/>
      <c r="J50" s="17"/>
      <c r="K50" s="17"/>
      <c r="L50" s="17"/>
      <c r="M50" s="16"/>
      <c r="N50" s="10"/>
      <c r="O50" s="10"/>
      <c r="P50" s="10"/>
      <c r="Q50" s="10"/>
      <c r="R50" s="58">
        <f t="shared" si="0"/>
        <v>47</v>
      </c>
      <c r="S50" s="14">
        <f>OBLICZENIA!BF52</f>
        <v>0.0804931850322926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>
      <c r="A51" s="10"/>
      <c r="B51" s="10"/>
      <c r="C51" s="10"/>
      <c r="D51" s="10"/>
      <c r="E51" s="10"/>
      <c r="F51" s="10"/>
      <c r="G51" s="10"/>
      <c r="H51" s="10"/>
      <c r="I51" s="10"/>
      <c r="J51" s="17"/>
      <c r="K51" s="17"/>
      <c r="L51" s="17"/>
      <c r="M51" s="16"/>
      <c r="N51" s="10"/>
      <c r="O51" s="10"/>
      <c r="P51" s="10"/>
      <c r="Q51" s="10"/>
      <c r="R51" s="58">
        <f t="shared" si="0"/>
        <v>48</v>
      </c>
      <c r="S51" s="14">
        <f>OBLICZENIA!BF53</f>
        <v>0.08178889293484008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>
      <c r="A52" s="10"/>
      <c r="B52" s="10"/>
      <c r="C52" s="10"/>
      <c r="D52" s="10"/>
      <c r="E52" s="10"/>
      <c r="F52" s="10"/>
      <c r="G52" s="10"/>
      <c r="H52" s="10"/>
      <c r="I52" s="10"/>
      <c r="J52" s="17"/>
      <c r="K52" s="17"/>
      <c r="L52" s="17"/>
      <c r="M52" s="16"/>
      <c r="N52" s="10"/>
      <c r="O52" s="10"/>
      <c r="P52" s="10"/>
      <c r="Q52" s="10"/>
      <c r="R52" s="58">
        <f t="shared" si="0"/>
        <v>49</v>
      </c>
      <c r="S52" s="14">
        <f>OBLICZENIA!BF54</f>
        <v>0.08309476562038644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.75">
      <c r="A53" s="10"/>
      <c r="B53" s="10"/>
      <c r="C53" s="10"/>
      <c r="D53" s="10"/>
      <c r="E53" s="10"/>
      <c r="F53" s="10"/>
      <c r="G53" s="10"/>
      <c r="H53" s="10"/>
      <c r="I53" s="10"/>
      <c r="J53" s="17"/>
      <c r="K53" s="17"/>
      <c r="L53" s="17"/>
      <c r="M53" s="16"/>
      <c r="N53" s="10"/>
      <c r="O53" s="10"/>
      <c r="P53" s="10"/>
      <c r="Q53" s="10"/>
      <c r="R53" s="58">
        <f t="shared" si="0"/>
        <v>50</v>
      </c>
      <c r="S53" s="14">
        <f>OBLICZENIA!BF55</f>
        <v>0.08441080102911813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>
      <c r="A54" s="10"/>
      <c r="B54" s="10"/>
      <c r="C54" s="10"/>
      <c r="D54" s="10"/>
      <c r="E54" s="10"/>
      <c r="F54" s="10"/>
      <c r="G54" s="10"/>
      <c r="H54" s="10"/>
      <c r="I54" s="10"/>
      <c r="J54" s="17"/>
      <c r="K54" s="17"/>
      <c r="L54" s="17"/>
      <c r="M54" s="16"/>
      <c r="N54" s="10"/>
      <c r="O54" s="10"/>
      <c r="P54" s="10"/>
      <c r="Q54" s="10"/>
      <c r="R54" s="58">
        <f t="shared" si="0"/>
        <v>51</v>
      </c>
      <c r="S54" s="14">
        <f>OBLICZENIA!BF56</f>
        <v>0.08573699712600807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>
      <c r="A55" s="10"/>
      <c r="B55" s="10"/>
      <c r="C55" s="10"/>
      <c r="D55" s="10"/>
      <c r="E55" s="10"/>
      <c r="F55" s="10"/>
      <c r="G55" s="10"/>
      <c r="H55" s="10"/>
      <c r="I55" s="10"/>
      <c r="J55" s="17"/>
      <c r="K55" s="17"/>
      <c r="L55" s="17"/>
      <c r="M55" s="16"/>
      <c r="N55" s="10"/>
      <c r="O55" s="10"/>
      <c r="P55" s="10"/>
      <c r="Q55" s="10"/>
      <c r="R55" s="58">
        <f t="shared" si="0"/>
        <v>52</v>
      </c>
      <c r="S55" s="14">
        <f>OBLICZENIA!BF57</f>
        <v>0.08707335190050713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>
      <c r="A56" s="10"/>
      <c r="B56" s="10"/>
      <c r="C56" s="10"/>
      <c r="D56" s="10"/>
      <c r="E56" s="10"/>
      <c r="F56" s="10"/>
      <c r="G56" s="10"/>
      <c r="H56" s="10"/>
      <c r="I56" s="10"/>
      <c r="J56" s="17"/>
      <c r="K56" s="17"/>
      <c r="L56" s="17"/>
      <c r="M56" s="16"/>
      <c r="N56" s="10"/>
      <c r="O56" s="10"/>
      <c r="P56" s="10"/>
      <c r="Q56" s="10"/>
      <c r="R56" s="58">
        <f t="shared" si="0"/>
        <v>53</v>
      </c>
      <c r="S56" s="14">
        <f>OBLICZENIA!BF58</f>
        <v>0.08841986336587898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>
      <c r="A57" s="11"/>
      <c r="B57" s="11"/>
      <c r="C57" s="11"/>
      <c r="D57" s="11"/>
      <c r="E57" s="11"/>
      <c r="F57" s="11"/>
      <c r="G57" s="11"/>
      <c r="H57" s="11"/>
      <c r="I57" s="11"/>
      <c r="J57" s="34"/>
      <c r="K57" s="34"/>
      <c r="L57" s="34"/>
      <c r="M57" s="11"/>
      <c r="N57" s="11"/>
      <c r="O57" s="11"/>
      <c r="P57" s="11"/>
      <c r="Q57" s="11"/>
      <c r="R57" s="58">
        <f t="shared" si="0"/>
        <v>54</v>
      </c>
      <c r="S57" s="14">
        <f>OBLICZENIA!BF59</f>
        <v>0.0897765295589211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>
      <c r="A58" s="11"/>
      <c r="B58" s="11"/>
      <c r="C58" s="11"/>
      <c r="D58" s="11"/>
      <c r="E58" s="11"/>
      <c r="F58" s="11"/>
      <c r="G58" s="11"/>
      <c r="H58" s="11"/>
      <c r="I58" s="11"/>
      <c r="J58" s="34"/>
      <c r="K58" s="34"/>
      <c r="L58" s="34"/>
      <c r="M58" s="11"/>
      <c r="N58" s="11"/>
      <c r="O58" s="11"/>
      <c r="P58" s="11"/>
      <c r="Q58" s="11"/>
      <c r="R58" s="58">
        <f t="shared" si="0"/>
        <v>55</v>
      </c>
      <c r="S58" s="14">
        <f>OBLICZENIA!BF60</f>
        <v>0.09114334853938322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2.75">
      <c r="A59" s="11"/>
      <c r="B59" s="11"/>
      <c r="C59" s="11"/>
      <c r="D59" s="11"/>
      <c r="E59" s="11"/>
      <c r="F59" s="11"/>
      <c r="G59" s="11"/>
      <c r="H59" s="11"/>
      <c r="I59" s="11"/>
      <c r="J59" s="34"/>
      <c r="K59" s="34"/>
      <c r="L59" s="34"/>
      <c r="M59" s="11"/>
      <c r="N59" s="11"/>
      <c r="O59" s="11"/>
      <c r="P59" s="11"/>
      <c r="Q59" s="11"/>
      <c r="R59" s="58">
        <f t="shared" si="0"/>
        <v>56</v>
      </c>
      <c r="S59" s="14">
        <f>OBLICZENIA!BF61</f>
        <v>0.09252031838955023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2.75">
      <c r="A60" s="11"/>
      <c r="B60" s="11"/>
      <c r="C60" s="11"/>
      <c r="D60" s="11"/>
      <c r="E60" s="11"/>
      <c r="F60" s="11"/>
      <c r="G60" s="11"/>
      <c r="H60" s="11"/>
      <c r="I60" s="11"/>
      <c r="J60" s="34"/>
      <c r="K60" s="34"/>
      <c r="L60" s="34"/>
      <c r="M60" s="11"/>
      <c r="N60" s="11"/>
      <c r="O60" s="11"/>
      <c r="P60" s="11"/>
      <c r="Q60" s="11"/>
      <c r="R60" s="58">
        <f t="shared" si="0"/>
        <v>57</v>
      </c>
      <c r="S60" s="14">
        <f>OBLICZENIA!BF62</f>
        <v>0.0939074372137916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2.75">
      <c r="A61" s="11"/>
      <c r="B61" s="11"/>
      <c r="C61" s="11"/>
      <c r="D61" s="11"/>
      <c r="E61" s="11"/>
      <c r="F61" s="11"/>
      <c r="G61" s="11"/>
      <c r="H61" s="11"/>
      <c r="I61" s="11"/>
      <c r="J61" s="34"/>
      <c r="K61" s="34"/>
      <c r="L61" s="34"/>
      <c r="M61" s="11"/>
      <c r="N61" s="11"/>
      <c r="O61" s="11"/>
      <c r="P61" s="11"/>
      <c r="Q61" s="11"/>
      <c r="R61" s="58">
        <f t="shared" si="0"/>
        <v>58</v>
      </c>
      <c r="S61" s="14">
        <f>OBLICZENIA!BF63</f>
        <v>0.09530470313818012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>
      <c r="A62" s="11"/>
      <c r="B62" s="11"/>
      <c r="C62" s="11"/>
      <c r="D62" s="11"/>
      <c r="E62" s="11"/>
      <c r="F62" s="11"/>
      <c r="G62" s="11"/>
      <c r="H62" s="11"/>
      <c r="I62" s="11"/>
      <c r="J62" s="34"/>
      <c r="K62" s="34"/>
      <c r="L62" s="34"/>
      <c r="M62" s="11"/>
      <c r="N62" s="11"/>
      <c r="O62" s="11"/>
      <c r="P62" s="11"/>
      <c r="Q62" s="11"/>
      <c r="R62" s="58">
        <f t="shared" si="0"/>
        <v>59</v>
      </c>
      <c r="S62" s="14">
        <f>OBLICZENIA!BF64</f>
        <v>0.09671211431000565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>
      <c r="A63" s="11"/>
      <c r="B63" s="11"/>
      <c r="C63" s="11"/>
      <c r="D63" s="11"/>
      <c r="E63" s="11"/>
      <c r="F63" s="11"/>
      <c r="G63" s="11"/>
      <c r="H63" s="11"/>
      <c r="I63" s="11"/>
      <c r="J63" s="34"/>
      <c r="K63" s="34"/>
      <c r="L63" s="34"/>
      <c r="M63" s="11"/>
      <c r="N63" s="11"/>
      <c r="O63" s="11"/>
      <c r="P63" s="11"/>
      <c r="Q63" s="11"/>
      <c r="R63" s="58">
        <f t="shared" si="0"/>
        <v>60</v>
      </c>
      <c r="S63" s="14">
        <f>OBLICZENIA!BF65</f>
        <v>0.09812966889747934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>
      <c r="A64" s="11"/>
      <c r="B64" s="11"/>
      <c r="C64" s="11"/>
      <c r="D64" s="11"/>
      <c r="E64" s="11"/>
      <c r="F64" s="11"/>
      <c r="G64" s="11"/>
      <c r="H64" s="11"/>
      <c r="I64" s="11"/>
      <c r="J64" s="34"/>
      <c r="K64" s="34"/>
      <c r="L64" s="34"/>
      <c r="M64" s="11"/>
      <c r="N64" s="11"/>
      <c r="O64" s="11"/>
      <c r="P64" s="11"/>
      <c r="Q64" s="11"/>
      <c r="R64" s="58">
        <f t="shared" si="0"/>
        <v>61</v>
      </c>
      <c r="S64" s="14">
        <f>OBLICZENIA!BF66</f>
        <v>0.09955736508924017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2.75">
      <c r="A65" s="11"/>
      <c r="B65" s="11"/>
      <c r="C65" s="11"/>
      <c r="D65" s="11"/>
      <c r="E65" s="11"/>
      <c r="F65" s="11"/>
      <c r="G65" s="11"/>
      <c r="H65" s="11"/>
      <c r="I65" s="11"/>
      <c r="J65" s="34"/>
      <c r="K65" s="34"/>
      <c r="L65" s="34"/>
      <c r="M65" s="11"/>
      <c r="N65" s="11"/>
      <c r="O65" s="11"/>
      <c r="P65" s="11"/>
      <c r="Q65" s="11"/>
      <c r="R65" s="58">
        <f t="shared" si="0"/>
        <v>62</v>
      </c>
      <c r="S65" s="14">
        <f>OBLICZENIA!BF67</f>
        <v>0.10099520109406664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2.75">
      <c r="A66" s="11"/>
      <c r="B66" s="11"/>
      <c r="C66" s="11"/>
      <c r="D66" s="11"/>
      <c r="E66" s="11"/>
      <c r="F66" s="11"/>
      <c r="G66" s="11"/>
      <c r="H66" s="11"/>
      <c r="I66" s="11"/>
      <c r="J66" s="34"/>
      <c r="K66" s="34"/>
      <c r="L66" s="34"/>
      <c r="M66" s="11"/>
      <c r="N66" s="11"/>
      <c r="O66" s="11"/>
      <c r="P66" s="11"/>
      <c r="Q66" s="11"/>
      <c r="R66" s="58">
        <f t="shared" si="0"/>
        <v>63</v>
      </c>
      <c r="S66" s="14">
        <f>OBLICZENIA!BF68</f>
        <v>0.10244317514041724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2.75">
      <c r="A67" s="11"/>
      <c r="B67" s="11"/>
      <c r="C67" s="11"/>
      <c r="D67" s="11"/>
      <c r="E67" s="11"/>
      <c r="F67" s="11"/>
      <c r="G67" s="11"/>
      <c r="H67" s="11"/>
      <c r="I67" s="11"/>
      <c r="J67" s="34"/>
      <c r="K67" s="34"/>
      <c r="L67" s="34"/>
      <c r="M67" s="11"/>
      <c r="N67" s="11"/>
      <c r="O67" s="11"/>
      <c r="P67" s="11"/>
      <c r="Q67" s="11"/>
      <c r="R67" s="58">
        <f t="shared" si="0"/>
        <v>64</v>
      </c>
      <c r="S67" s="14">
        <f>OBLICZENIA!BF69</f>
        <v>0.10390128547608675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2.75">
      <c r="A68" s="11"/>
      <c r="B68" s="11"/>
      <c r="C68" s="11"/>
      <c r="D68" s="11"/>
      <c r="E68" s="11"/>
      <c r="F68" s="11"/>
      <c r="G68" s="11"/>
      <c r="H68" s="11"/>
      <c r="I68" s="11"/>
      <c r="J68" s="34"/>
      <c r="K68" s="34"/>
      <c r="L68" s="34"/>
      <c r="M68" s="11"/>
      <c r="N68" s="11"/>
      <c r="O68" s="11"/>
      <c r="P68" s="11"/>
      <c r="Q68" s="11"/>
      <c r="R68" s="58">
        <f t="shared" si="0"/>
        <v>65</v>
      </c>
      <c r="S68" s="14">
        <f>OBLICZENIA!BF70</f>
        <v>0.10536953036797903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2.75">
      <c r="A69" s="11"/>
      <c r="B69" s="11"/>
      <c r="C69" s="11"/>
      <c r="D69" s="11"/>
      <c r="E69" s="11"/>
      <c r="F69" s="11"/>
      <c r="G69" s="11"/>
      <c r="H69" s="11"/>
      <c r="I69" s="11"/>
      <c r="J69" s="34"/>
      <c r="K69" s="34"/>
      <c r="L69" s="34"/>
      <c r="M69" s="11"/>
      <c r="N69" s="11"/>
      <c r="O69" s="11"/>
      <c r="P69" s="11"/>
      <c r="Q69" s="11"/>
      <c r="R69" s="58">
        <f aca="true" t="shared" si="4" ref="R69:R103">R68+1</f>
        <v>66</v>
      </c>
      <c r="S69" s="14">
        <f>OBLICZENIA!BF71</f>
        <v>0.10684790810151916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2.75">
      <c r="A70" s="11"/>
      <c r="B70" s="11"/>
      <c r="C70" s="11"/>
      <c r="D70" s="11"/>
      <c r="E70" s="11"/>
      <c r="F70" s="11"/>
      <c r="G70" s="11"/>
      <c r="H70" s="11"/>
      <c r="I70" s="11"/>
      <c r="J70" s="34"/>
      <c r="K70" s="34"/>
      <c r="L70" s="34"/>
      <c r="M70" s="11"/>
      <c r="N70" s="11"/>
      <c r="O70" s="11"/>
      <c r="P70" s="11"/>
      <c r="Q70" s="11"/>
      <c r="R70" s="58">
        <f t="shared" si="4"/>
        <v>67</v>
      </c>
      <c r="S70" s="14">
        <f>OBLICZENIA!BF72</f>
        <v>0.10833641698062355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>
      <c r="A71" s="11"/>
      <c r="B71" s="11"/>
      <c r="C71" s="11"/>
      <c r="D71" s="11"/>
      <c r="E71" s="11"/>
      <c r="F71" s="11"/>
      <c r="G71" s="11"/>
      <c r="H71" s="11"/>
      <c r="I71" s="11"/>
      <c r="J71" s="34"/>
      <c r="K71" s="34"/>
      <c r="L71" s="34"/>
      <c r="M71" s="11"/>
      <c r="N71" s="11"/>
      <c r="O71" s="11"/>
      <c r="P71" s="11"/>
      <c r="Q71" s="11"/>
      <c r="R71" s="58">
        <f t="shared" si="4"/>
        <v>68</v>
      </c>
      <c r="S71" s="14">
        <f>OBLICZENIA!BF73</f>
        <v>0.10983505532713297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2.75">
      <c r="A72" s="11"/>
      <c r="B72" s="11"/>
      <c r="C72" s="11"/>
      <c r="D72" s="11"/>
      <c r="E72" s="11"/>
      <c r="F72" s="11"/>
      <c r="G72" s="11"/>
      <c r="H72" s="11"/>
      <c r="I72" s="11"/>
      <c r="J72" s="34"/>
      <c r="K72" s="34"/>
      <c r="L72" s="34"/>
      <c r="M72" s="11"/>
      <c r="N72" s="11"/>
      <c r="O72" s="11"/>
      <c r="P72" s="11"/>
      <c r="Q72" s="11"/>
      <c r="R72" s="58">
        <f t="shared" si="4"/>
        <v>69</v>
      </c>
      <c r="S72" s="14">
        <f>OBLICZENIA!BF74</f>
        <v>0.11134382148051046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>
      <c r="A73" s="11"/>
      <c r="B73" s="11"/>
      <c r="C73" s="11"/>
      <c r="D73" s="11"/>
      <c r="E73" s="11"/>
      <c r="F73" s="11"/>
      <c r="G73" s="11"/>
      <c r="H73" s="11"/>
      <c r="I73" s="11"/>
      <c r="J73" s="34"/>
      <c r="K73" s="34"/>
      <c r="L73" s="34"/>
      <c r="M73" s="11"/>
      <c r="N73" s="11"/>
      <c r="O73" s="11"/>
      <c r="P73" s="11"/>
      <c r="Q73" s="11"/>
      <c r="R73" s="58">
        <f t="shared" si="4"/>
        <v>70</v>
      </c>
      <c r="S73" s="14">
        <f>OBLICZENIA!BF75</f>
        <v>0.11286271379770495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2.75">
      <c r="A74" s="11"/>
      <c r="B74" s="11"/>
      <c r="C74" s="11"/>
      <c r="D74" s="11"/>
      <c r="E74" s="11"/>
      <c r="F74" s="11"/>
      <c r="G74" s="11"/>
      <c r="H74" s="11"/>
      <c r="I74" s="11"/>
      <c r="J74" s="34"/>
      <c r="K74" s="34"/>
      <c r="L74" s="34"/>
      <c r="M74" s="11"/>
      <c r="N74" s="11"/>
      <c r="O74" s="11"/>
      <c r="P74" s="11"/>
      <c r="Q74" s="11"/>
      <c r="R74" s="58">
        <f t="shared" si="4"/>
        <v>71</v>
      </c>
      <c r="S74" s="14">
        <f>OBLICZENIA!BF76</f>
        <v>0.1143917306526959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58">
        <f t="shared" si="4"/>
        <v>72</v>
      </c>
      <c r="S75" s="14">
        <f>OBLICZENIA!BF77</f>
        <v>0.11593087043627592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8:29" ht="12.75">
      <c r="R76" s="58">
        <f t="shared" si="4"/>
        <v>73</v>
      </c>
      <c r="S76" s="14">
        <f>OBLICZENIA!BF78</f>
        <v>0.11748013155566835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8:29" ht="12.75">
      <c r="R77" s="58">
        <f t="shared" si="4"/>
        <v>74</v>
      </c>
      <c r="S77" s="14">
        <f>OBLICZENIA!BF79</f>
        <v>0.1190395124343208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8:29" ht="12.75">
      <c r="R78" s="58">
        <f t="shared" si="4"/>
        <v>75</v>
      </c>
      <c r="S78" s="14">
        <f>OBLICZENIA!BF80</f>
        <v>0.12060901151167334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8:29" ht="12.75">
      <c r="R79" s="58">
        <f t="shared" si="4"/>
        <v>76</v>
      </c>
      <c r="S79" s="14">
        <f>OBLICZENIA!BF81</f>
        <v>0.12218862724276973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8:29" ht="12.75">
      <c r="R80" s="58">
        <f t="shared" si="4"/>
        <v>77</v>
      </c>
      <c r="S80" s="14">
        <f>OBLICZENIA!BF82</f>
        <v>0.12377835809811623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8:29" ht="12.75">
      <c r="R81" s="58">
        <f t="shared" si="4"/>
        <v>78</v>
      </c>
      <c r="S81" s="14">
        <f>OBLICZENIA!BF83</f>
        <v>0.12537820256328308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8:29" ht="12.75">
      <c r="R82" s="58">
        <f t="shared" si="4"/>
        <v>79</v>
      </c>
      <c r="S82" s="14">
        <f>OBLICZENIA!BF84</f>
        <v>0.12698815913885614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8:29" ht="12.75">
      <c r="R83" s="58">
        <f t="shared" si="4"/>
        <v>80</v>
      </c>
      <c r="S83" s="14">
        <f>OBLICZENIA!BF85</f>
        <v>0.12860822633997546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8:29" ht="12.75">
      <c r="R84" s="58">
        <f t="shared" si="4"/>
        <v>81</v>
      </c>
      <c r="S84" s="14">
        <f>OBLICZENIA!BF86</f>
        <v>0.1302384026962371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8:29" ht="12.75">
      <c r="R85" s="58">
        <f t="shared" si="4"/>
        <v>82</v>
      </c>
      <c r="S85" s="14">
        <f>OBLICZENIA!BF87</f>
        <v>0.13187868675145975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8:29" ht="12.75">
      <c r="R86" s="58">
        <f t="shared" si="4"/>
        <v>83</v>
      </c>
      <c r="S86" s="14">
        <f>OBLICZENIA!BF88</f>
        <v>0.13352907706334546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8:29" ht="12.75">
      <c r="R87" s="58">
        <f t="shared" si="4"/>
        <v>84</v>
      </c>
      <c r="S87" s="14">
        <f>OBLICZENIA!BF89</f>
        <v>0.13518957220340516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8:29" ht="12.75">
      <c r="R88" s="58">
        <f t="shared" si="4"/>
        <v>85</v>
      </c>
      <c r="S88" s="14">
        <f>OBLICZENIA!BF90</f>
        <v>0.1368601707565868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8:29" ht="12.75">
      <c r="R89" s="58">
        <f t="shared" si="4"/>
        <v>86</v>
      </c>
      <c r="S89" s="14">
        <f>OBLICZENIA!BF91</f>
        <v>0.1385408713212083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8:29" ht="12.75">
      <c r="R90" s="58">
        <f t="shared" si="4"/>
        <v>87</v>
      </c>
      <c r="S90" s="14">
        <f>OBLICZENIA!BF92</f>
        <v>0.1402316725086446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8:29" ht="12.75">
      <c r="R91" s="58">
        <f t="shared" si="4"/>
        <v>88</v>
      </c>
      <c r="S91" s="14">
        <f>OBLICZENIA!BF93</f>
        <v>0.14193257294318695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8:19" ht="12.75">
      <c r="R92" s="58">
        <f t="shared" si="4"/>
        <v>89</v>
      </c>
      <c r="S92" s="14">
        <f>OBLICZENIA!BF94</f>
        <v>0.14364357126182797</v>
      </c>
    </row>
    <row r="93" spans="18:19" ht="12.75">
      <c r="R93" s="58">
        <f t="shared" si="4"/>
        <v>90</v>
      </c>
      <c r="S93" s="14">
        <f>OBLICZENIA!BF95</f>
        <v>0.14536466611397078</v>
      </c>
    </row>
    <row r="94" spans="18:19" ht="12.75">
      <c r="R94" s="58">
        <f t="shared" si="4"/>
        <v>91</v>
      </c>
      <c r="S94" s="14">
        <f>OBLICZENIA!BF96</f>
        <v>0.1470958561614215</v>
      </c>
    </row>
    <row r="95" spans="18:19" ht="12.75">
      <c r="R95" s="58">
        <f t="shared" si="4"/>
        <v>92</v>
      </c>
      <c r="S95" s="14">
        <f>OBLICZENIA!BF97</f>
        <v>0.1488371400780753</v>
      </c>
    </row>
    <row r="96" spans="18:19" ht="12.75">
      <c r="R96" s="58">
        <f t="shared" si="4"/>
        <v>93</v>
      </c>
      <c r="S96" s="14">
        <f>OBLICZENIA!BF98</f>
        <v>0.15058851654974487</v>
      </c>
    </row>
    <row r="97" spans="18:19" ht="12.75">
      <c r="R97" s="58">
        <f t="shared" si="4"/>
        <v>94</v>
      </c>
      <c r="S97" s="14">
        <f>OBLICZENIA!BF99</f>
        <v>0.15234998427404017</v>
      </c>
    </row>
    <row r="98" spans="18:19" ht="12.75">
      <c r="R98" s="58">
        <f t="shared" si="4"/>
        <v>95</v>
      </c>
      <c r="S98" s="14">
        <f>OBLICZENIA!BF100</f>
        <v>0.15412154196009784</v>
      </c>
    </row>
    <row r="99" spans="18:19" ht="12.75">
      <c r="R99" s="58">
        <f t="shared" si="4"/>
        <v>96</v>
      </c>
      <c r="S99" s="14">
        <f>OBLICZENIA!BF101</f>
        <v>0.1559031374702443</v>
      </c>
    </row>
    <row r="100" spans="18:19" ht="12.75">
      <c r="R100" s="58">
        <f t="shared" si="4"/>
        <v>97</v>
      </c>
      <c r="S100" s="14">
        <f>OBLICZENIA!BF102</f>
        <v>0.15768904480652168</v>
      </c>
    </row>
    <row r="101" spans="18:19" ht="12.75">
      <c r="R101" s="58">
        <f t="shared" si="4"/>
        <v>98</v>
      </c>
      <c r="S101" s="14">
        <f>OBLICZENIA!BF103</f>
        <v>0.15947536887833821</v>
      </c>
    </row>
    <row r="102" spans="18:19" ht="12.75">
      <c r="R102" s="58">
        <f t="shared" si="4"/>
        <v>99</v>
      </c>
      <c r="S102" s="14">
        <f>OBLICZENIA!BF104</f>
        <v>0.1612621084395494</v>
      </c>
    </row>
    <row r="103" spans="18:19" ht="12.75">
      <c r="R103" s="58">
        <f t="shared" si="4"/>
        <v>100</v>
      </c>
      <c r="S103" s="14">
        <f>2*OBLICZENIA!BF105</f>
        <v>0.16304926225469588</v>
      </c>
    </row>
    <row r="104" spans="18:19" ht="12.75">
      <c r="R104" s="3"/>
      <c r="S104" s="14"/>
    </row>
    <row r="105" spans="18:19" ht="12.75">
      <c r="R105" s="3"/>
      <c r="S105" s="14"/>
    </row>
    <row r="106" spans="18:19" ht="12.75">
      <c r="R106" s="3"/>
      <c r="S106" s="14"/>
    </row>
    <row r="107" ht="12.75">
      <c r="S107" s="14"/>
    </row>
    <row r="108" ht="12.75">
      <c r="S108" s="14"/>
    </row>
    <row r="109" ht="12.75">
      <c r="S109" s="14"/>
    </row>
    <row r="110" ht="12.75">
      <c r="S110" s="14"/>
    </row>
    <row r="111" ht="12.75">
      <c r="S111" s="14"/>
    </row>
    <row r="112" ht="12.75">
      <c r="S112" s="14"/>
    </row>
    <row r="113" ht="12.75">
      <c r="S113" s="14"/>
    </row>
    <row r="114" ht="12.75">
      <c r="S114" s="14"/>
    </row>
  </sheetData>
  <sheetProtection password="E15D" sheet="1" objects="1" scenarios="1"/>
  <mergeCells count="21">
    <mergeCell ref="E10:I10"/>
    <mergeCell ref="E29:I29"/>
    <mergeCell ref="E31:I31"/>
    <mergeCell ref="B41:I41"/>
    <mergeCell ref="E33:I33"/>
    <mergeCell ref="B4:C4"/>
    <mergeCell ref="B19:C19"/>
    <mergeCell ref="E23:I23"/>
    <mergeCell ref="E25:I25"/>
    <mergeCell ref="E6:I6"/>
    <mergeCell ref="E8:I8"/>
    <mergeCell ref="B2:Q2"/>
    <mergeCell ref="E43:K43"/>
    <mergeCell ref="E14:I14"/>
    <mergeCell ref="E16:I16"/>
    <mergeCell ref="F21:H21"/>
    <mergeCell ref="E12:I12"/>
    <mergeCell ref="E35:I35"/>
    <mergeCell ref="E37:I37"/>
    <mergeCell ref="E39:I39"/>
    <mergeCell ref="E27:I27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0"/>
  <sheetViews>
    <sheetView zoomScalePageLayoutView="0" workbookViewId="0" topLeftCell="A1">
      <selection activeCell="BJ98" sqref="BJ98"/>
    </sheetView>
  </sheetViews>
  <sheetFormatPr defaultColWidth="9.140625" defaultRowHeight="12.75"/>
  <cols>
    <col min="7" max="7" width="9.7109375" style="0" bestFit="1" customWidth="1"/>
    <col min="8" max="8" width="13.7109375" style="0" bestFit="1" customWidth="1"/>
    <col min="17" max="18" width="16.00390625" style="0" customWidth="1"/>
    <col min="21" max="21" width="9.28125" style="0" bestFit="1" customWidth="1"/>
    <col min="34" max="34" width="9.7109375" style="0" bestFit="1" customWidth="1"/>
    <col min="35" max="35" width="9.8515625" style="0" bestFit="1" customWidth="1"/>
    <col min="37" max="37" width="8.7109375" style="0" customWidth="1"/>
    <col min="38" max="38" width="10.57421875" style="0" bestFit="1" customWidth="1"/>
    <col min="40" max="40" width="9.28125" style="0" bestFit="1" customWidth="1"/>
    <col min="47" max="48" width="9.28125" style="0" bestFit="1" customWidth="1"/>
    <col min="49" max="53" width="9.28125" style="0" customWidth="1"/>
    <col min="54" max="54" width="9.28125" style="0" bestFit="1" customWidth="1"/>
    <col min="55" max="55" width="9.28125" style="0" customWidth="1"/>
    <col min="56" max="56" width="14.7109375" style="0" customWidth="1"/>
    <col min="57" max="58" width="9.7109375" style="0" bestFit="1" customWidth="1"/>
    <col min="70" max="70" width="9.8515625" style="0" bestFit="1" customWidth="1"/>
  </cols>
  <sheetData>
    <row r="1" spans="1:203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">
        <v>63</v>
      </c>
      <c r="AH1" s="65">
        <f>(hmw+hmx-2*R)*R/2</f>
        <v>0</v>
      </c>
      <c r="AI1" s="64"/>
      <c r="AJ1" s="64"/>
      <c r="AK1" s="64"/>
      <c r="AL1" s="64"/>
      <c r="AM1" s="64" t="s">
        <v>61</v>
      </c>
      <c r="AN1" s="64">
        <f>IF(beta=0,0,-(R-h)^2/TAN(beta)/2)</f>
        <v>0.75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</row>
    <row r="2" spans="1:203" ht="21" thickBot="1">
      <c r="A2" s="64"/>
      <c r="B2" s="64" t="s">
        <v>18</v>
      </c>
      <c r="C2" s="64">
        <f>(Td-Tr)/Lpp</f>
        <v>0.0013636363636363668</v>
      </c>
      <c r="D2" s="64"/>
      <c r="E2" s="64" t="s">
        <v>19</v>
      </c>
      <c r="F2" s="64">
        <f>IF(DANE_WYNIKI!E21="p",(Tp-Tl)/B,-(Tp-Tl)/B)</f>
        <v>0.007692307692307665</v>
      </c>
      <c r="G2" s="64"/>
      <c r="H2" s="64" t="s">
        <v>20</v>
      </c>
      <c r="I2" s="64">
        <f>lz/100</f>
        <v>0.2</v>
      </c>
      <c r="J2" s="64"/>
      <c r="K2" s="64" t="s">
        <v>22</v>
      </c>
      <c r="L2" s="64">
        <f>hmx/40</f>
        <v>0.1</v>
      </c>
      <c r="M2" s="66" t="s">
        <v>36</v>
      </c>
      <c r="N2" s="64">
        <f>PI()*R^2/4</f>
        <v>7.0685834705770345</v>
      </c>
      <c r="O2" s="64"/>
      <c r="P2" s="64" t="s">
        <v>38</v>
      </c>
      <c r="Q2" s="67">
        <f>IF(R=0,0,ATAN((hmx-hmw)/R))</f>
        <v>0.5880026035475675</v>
      </c>
      <c r="R2" s="64" t="s">
        <v>41</v>
      </c>
      <c r="S2" s="64">
        <f>IF(beta=0,0,(R-h)^2/TAN(beta)/2)</f>
        <v>0.75</v>
      </c>
      <c r="T2" s="64">
        <f>beta*180/PI()</f>
        <v>33.690067525979785</v>
      </c>
      <c r="U2" s="64"/>
      <c r="V2" s="64" t="s">
        <v>39</v>
      </c>
      <c r="W2" s="64">
        <f>IF(beta=0,0,R-(R-h)/TAN(beta))</f>
        <v>1.5</v>
      </c>
      <c r="X2" s="64"/>
      <c r="Y2" s="64" t="s">
        <v>46</v>
      </c>
      <c r="Z2" s="68">
        <f>s-DT*yr-t*lr</f>
        <v>-0.02615384615384599</v>
      </c>
      <c r="AA2" s="64"/>
      <c r="AB2" s="64" t="s">
        <v>54</v>
      </c>
      <c r="AC2" s="68">
        <f>S105</f>
        <v>19.068583470577035</v>
      </c>
      <c r="AD2" s="64"/>
      <c r="AE2" s="64">
        <f>AE5*180/PI()</f>
        <v>7.074946063862442</v>
      </c>
      <c r="AF2" s="64"/>
      <c r="AG2" s="64" t="s">
        <v>52</v>
      </c>
      <c r="AH2" s="64" t="s">
        <v>53</v>
      </c>
      <c r="AI2" s="66" t="s">
        <v>19</v>
      </c>
      <c r="AJ2" s="69">
        <f>DT</f>
        <v>0.007692307692307665</v>
      </c>
      <c r="AK2" s="64"/>
      <c r="AL2" s="64"/>
      <c r="AM2" s="64"/>
      <c r="AN2" s="64"/>
      <c r="AO2" s="64"/>
      <c r="AP2" s="64"/>
      <c r="AQ2" s="64">
        <f>R*SIN(AE21)</f>
        <v>0.40512301186971933</v>
      </c>
      <c r="AR2" s="64"/>
      <c r="AS2" s="64">
        <f>(AD21-AF21)/AJ2</f>
        <v>0.4051230118697018</v>
      </c>
      <c r="AT2" s="64"/>
      <c r="AU2" s="70" t="s">
        <v>64</v>
      </c>
      <c r="AV2" s="64"/>
      <c r="AW2" s="64"/>
      <c r="AX2" s="64">
        <f>pro</f>
        <v>0</v>
      </c>
      <c r="AY2" s="64"/>
      <c r="AZ2" s="64"/>
      <c r="BA2" s="71" t="s">
        <v>65</v>
      </c>
      <c r="BB2" s="64"/>
      <c r="BC2" s="64"/>
      <c r="BD2" s="64"/>
      <c r="BE2" s="64"/>
      <c r="BF2" s="72"/>
      <c r="BG2" s="72"/>
      <c r="BH2" s="64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</row>
    <row r="3" spans="1:203" ht="13.5" thickBot="1">
      <c r="A3" s="64"/>
      <c r="B3" s="64"/>
      <c r="C3" s="64"/>
      <c r="D3" s="64"/>
      <c r="E3" s="64"/>
      <c r="F3" s="64"/>
      <c r="G3" s="64"/>
      <c r="H3" s="73"/>
      <c r="I3" s="64"/>
      <c r="J3" s="64"/>
      <c r="K3" s="64"/>
      <c r="L3" s="64"/>
      <c r="M3" s="64"/>
      <c r="N3" s="64"/>
      <c r="O3" s="64"/>
      <c r="P3" s="64"/>
      <c r="Q3" s="64">
        <f>beta*180/PI()</f>
        <v>33.690067525979785</v>
      </c>
      <c r="R3" s="64"/>
      <c r="S3" s="64"/>
      <c r="T3" s="64">
        <f>TAN(beta)</f>
        <v>0.6666666666666666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16" t="s">
        <v>58</v>
      </c>
      <c r="AK3" s="117"/>
      <c r="AL3" s="117"/>
      <c r="AM3" s="117"/>
      <c r="AN3" s="117"/>
      <c r="AO3" s="117"/>
      <c r="AP3" s="117"/>
      <c r="AQ3" s="118"/>
      <c r="AR3" s="74"/>
      <c r="AS3" s="64"/>
      <c r="AT3" s="64"/>
      <c r="AU3" s="64"/>
      <c r="AV3" s="64"/>
      <c r="AW3" s="71" t="s">
        <v>65</v>
      </c>
      <c r="AX3" s="64"/>
      <c r="AY3" s="64"/>
      <c r="AZ3" s="64"/>
      <c r="BA3" s="64">
        <f>FF</f>
        <v>19.068583470577035</v>
      </c>
      <c r="BB3" s="64"/>
      <c r="BC3" s="64"/>
      <c r="BD3" s="64"/>
      <c r="BE3" s="64"/>
      <c r="BF3" s="64"/>
      <c r="BG3" s="64"/>
      <c r="BH3" s="64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</row>
    <row r="4" spans="1:203" ht="15" thickBot="1">
      <c r="A4" s="64"/>
      <c r="B4" s="64"/>
      <c r="C4" s="64"/>
      <c r="D4" s="64"/>
      <c r="E4" s="64"/>
      <c r="F4" s="64"/>
      <c r="G4" s="64" t="s">
        <v>42</v>
      </c>
      <c r="H4" s="75" t="s">
        <v>26</v>
      </c>
      <c r="I4" s="64" t="s">
        <v>27</v>
      </c>
      <c r="J4" s="64" t="s">
        <v>28</v>
      </c>
      <c r="K4" s="64" t="s">
        <v>29</v>
      </c>
      <c r="L4" s="76" t="s">
        <v>30</v>
      </c>
      <c r="M4" s="76" t="s">
        <v>31</v>
      </c>
      <c r="N4" s="76" t="s">
        <v>32</v>
      </c>
      <c r="O4" s="76" t="s">
        <v>33</v>
      </c>
      <c r="P4" s="76" t="s">
        <v>34</v>
      </c>
      <c r="Q4" s="76" t="s">
        <v>37</v>
      </c>
      <c r="R4" s="76"/>
      <c r="S4" s="76" t="s">
        <v>35</v>
      </c>
      <c r="T4" s="77" t="s">
        <v>43</v>
      </c>
      <c r="U4" s="78"/>
      <c r="V4" s="64"/>
      <c r="W4" s="76" t="s">
        <v>44</v>
      </c>
      <c r="X4" s="79" t="s">
        <v>100</v>
      </c>
      <c r="Y4" s="79" t="s">
        <v>26</v>
      </c>
      <c r="Z4" s="79" t="s">
        <v>27</v>
      </c>
      <c r="AA4" s="79" t="s">
        <v>28</v>
      </c>
      <c r="AB4" s="73" t="s">
        <v>45</v>
      </c>
      <c r="AC4" s="76" t="s">
        <v>30</v>
      </c>
      <c r="AD4" s="76" t="s">
        <v>31</v>
      </c>
      <c r="AE4" s="76" t="s">
        <v>32</v>
      </c>
      <c r="AF4" s="76" t="s">
        <v>47</v>
      </c>
      <c r="AG4" s="76" t="s">
        <v>51</v>
      </c>
      <c r="AH4" s="76" t="s">
        <v>48</v>
      </c>
      <c r="AI4" s="76" t="s">
        <v>49</v>
      </c>
      <c r="AJ4" s="76" t="s">
        <v>50</v>
      </c>
      <c r="AK4" s="80" t="s">
        <v>56</v>
      </c>
      <c r="AL4" s="79"/>
      <c r="AM4" s="80" t="s">
        <v>57</v>
      </c>
      <c r="AN4" s="79"/>
      <c r="AO4" s="81"/>
      <c r="AP4" s="79"/>
      <c r="AQ4" s="81"/>
      <c r="AR4" s="80" t="s">
        <v>59</v>
      </c>
      <c r="AS4" s="79"/>
      <c r="AT4" s="80" t="s">
        <v>60</v>
      </c>
      <c r="AU4" s="80"/>
      <c r="AV4" s="119" t="s">
        <v>62</v>
      </c>
      <c r="AW4" s="119"/>
      <c r="AX4" s="119"/>
      <c r="AY4" s="119"/>
      <c r="AZ4" s="119"/>
      <c r="BA4" s="119"/>
      <c r="BB4" s="74"/>
      <c r="BC4" s="74" t="s">
        <v>66</v>
      </c>
      <c r="BD4" s="81"/>
      <c r="BE4" s="74"/>
      <c r="BF4" s="82"/>
      <c r="BG4" s="81"/>
      <c r="BH4" s="74"/>
      <c r="BI4" s="44"/>
      <c r="BJ4" s="45"/>
      <c r="BK4" s="45"/>
      <c r="BL4" s="45"/>
      <c r="BM4" s="45"/>
      <c r="BN4" s="45"/>
      <c r="BO4" s="55"/>
      <c r="BP4" s="55"/>
      <c r="BQ4" s="55"/>
      <c r="BR4" s="45"/>
      <c r="BS4" s="55"/>
      <c r="BT4" s="55"/>
      <c r="BU4" s="55"/>
      <c r="BV4" s="43"/>
      <c r="BW4" s="43"/>
      <c r="BX4" s="43"/>
      <c r="BY4" s="43"/>
      <c r="BZ4" s="43"/>
      <c r="CA4" s="43"/>
      <c r="CB4" s="43"/>
      <c r="CC4" s="4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</row>
    <row r="5" spans="1:203" ht="12.75">
      <c r="A5" s="64"/>
      <c r="B5" s="64" t="s">
        <v>23</v>
      </c>
      <c r="C5" s="64">
        <f>1</f>
        <v>1</v>
      </c>
      <c r="D5" s="64"/>
      <c r="E5" s="64"/>
      <c r="F5" s="64">
        <v>0</v>
      </c>
      <c r="G5" s="64">
        <v>0</v>
      </c>
      <c r="H5" s="75">
        <v>1</v>
      </c>
      <c r="I5" s="64">
        <f aca="true" t="shared" si="0" ref="I5:I68">-2*bz</f>
        <v>-12</v>
      </c>
      <c r="J5" s="64">
        <f aca="true" t="shared" si="1" ref="J5:J46">G5^2+bz^2-2*R*G5</f>
        <v>36</v>
      </c>
      <c r="K5" s="64">
        <f>IF((I5^2-4*H5*J5)&gt;=0,(I5^2-4*H5*J5)^0.5,0)</f>
        <v>0</v>
      </c>
      <c r="L5" s="64">
        <f aca="true" t="shared" si="2" ref="L5:L45">IF(G5&gt;=R,(bz+R),(-I5+K5)/(2*H5))</f>
        <v>6</v>
      </c>
      <c r="M5" s="64">
        <f>G5</f>
        <v>0</v>
      </c>
      <c r="N5" s="64">
        <f aca="true" t="shared" si="3" ref="N5:N46">IF(R&gt;0,ACOS((R-G5)/R),0)</f>
        <v>0</v>
      </c>
      <c r="O5" s="64">
        <f aca="true" t="shared" si="4" ref="O5:O36">IF(G5&lt;=R,R^2/2*N5-(R-G5)^2*TAN(N5)/2,N$2)</f>
        <v>0</v>
      </c>
      <c r="P5" s="64">
        <f aca="true" t="shared" si="5" ref="P5:P45">IF(G5&lt;=h,bz*G5,bz*h)</f>
        <v>0</v>
      </c>
      <c r="Q5" s="64">
        <f aca="true" t="shared" si="6" ref="Q5:Q45">IF(AND(G5&gt;h,G5&lt;=R,beta&gt;0),(G5-h)^2/2/TAN(beta),IF(G5&gt;R,tru,0))</f>
        <v>0</v>
      </c>
      <c r="R5" s="64">
        <f aca="true" t="shared" si="7" ref="R5:R68">IF(AND(beta=0,G5&gt;=R,hmx=hmw),R*(G5-R),IF(G5&lt;R,0,(2*db-(G5-R)/TAN(beta))*(G5-R)/2))</f>
        <v>0</v>
      </c>
      <c r="S5" s="83">
        <f>O5+P5-Q5+R5</f>
        <v>0</v>
      </c>
      <c r="T5" s="84">
        <f>G5</f>
        <v>0</v>
      </c>
      <c r="U5" s="85">
        <f>S5</f>
        <v>0</v>
      </c>
      <c r="V5" s="64"/>
      <c r="W5" s="75">
        <v>0</v>
      </c>
      <c r="X5" s="86">
        <f>hpo</f>
        <v>-0.02615384615384599</v>
      </c>
      <c r="Y5" s="64">
        <f aca="true" t="shared" si="8" ref="Y5:Y68">1+DT^2</f>
        <v>1.0000591715976332</v>
      </c>
      <c r="Z5" s="64">
        <f aca="true" t="shared" si="9" ref="Z5:Z36">2*(X5*DT-R*DT-bz)</f>
        <v>-12.046556213017752</v>
      </c>
      <c r="AA5" s="64">
        <f aca="true" t="shared" si="10" ref="AA5:AA45">X5^2+bz^2-2*R*X5</f>
        <v>36.15760710059172</v>
      </c>
      <c r="AB5" s="64">
        <f>IF((Z5^2-4*Y5*AA5)&gt;=0,(Z5^2-4*Y5*AA5)^0.5,0)</f>
        <v>0.6932028400942725</v>
      </c>
      <c r="AC5" s="64">
        <f>(-Z5+AB5)/(2*Y5)</f>
        <v>6.369502632909094</v>
      </c>
      <c r="AD5" s="64">
        <f aca="true" t="shared" si="11" ref="AD5:AD45">X5+DT*AC5</f>
        <v>0.02284232794545456</v>
      </c>
      <c r="AE5" s="64">
        <f aca="true" t="shared" si="12" ref="AE5:AE36">IF(AND(AD5&gt;0,AD5&lt;=R),ACOS((R-AD5)/R),PI()/2)</f>
        <v>0.12348110321541261</v>
      </c>
      <c r="AF5" s="86">
        <f aca="true" t="shared" si="13" ref="AF5:AF45">X5+DT*bz</f>
        <v>0.02</v>
      </c>
      <c r="AG5" s="64">
        <f aca="true" t="shared" si="14" ref="AG5:AG36">IF(AE5&gt;=PI()/2,N$2,R^2*AE5/2)</f>
        <v>0.5556649644693568</v>
      </c>
      <c r="AH5" s="64">
        <f aca="true" t="shared" si="15" ref="AH5:AH36">IF(AE5&gt;=PI()/2,0,(R-AF5)*(AC5-bz)/2)</f>
        <v>0.5505589230345498</v>
      </c>
      <c r="AI5" s="87">
        <f aca="true" t="shared" si="16" ref="AI5:AI36">IF(AND(AD5&gt;0,AF5&gt;=0),AG5-AH5,IF(AND(AF5&gt;h,AD5&gt;=R),N$2,0))</f>
        <v>0.005106041434806974</v>
      </c>
      <c r="AJ5" s="87">
        <f aca="true" t="shared" si="17" ref="AJ5:AJ45">IF(AND(h&lt;=X5,AF5&gt;=h),h*bz,0)</f>
        <v>0</v>
      </c>
      <c r="AK5" s="88">
        <f aca="true" t="shared" si="18" ref="AK5:AK45">(h-X5)/DT</f>
        <v>263.4000000000009</v>
      </c>
      <c r="AL5" s="89">
        <f aca="true" t="shared" si="19" ref="AL5:AL45">IF(AND(X5&gt;0,X5&lt;h,AF5&gt;=h),bz*h-(h-X5)*AK5/2,0)</f>
        <v>0</v>
      </c>
      <c r="AM5" s="90">
        <f aca="true" t="shared" si="20" ref="AM5:AM45">(h-AF5)/DT</f>
        <v>257.4000000000009</v>
      </c>
      <c r="AN5" s="89">
        <f aca="true" t="shared" si="21" ref="AN5:AN36">IF(AND(X5&gt;=h,AF5&gt;0,AF5&lt;h),bz*h+(h-AF5)*AM5/2,0)</f>
        <v>0</v>
      </c>
      <c r="AO5" s="89">
        <f aca="true" t="shared" si="22" ref="AO5:AO36">IF(AND(X5&lt;0,AF5&gt;0,AF5&lt;h),(AF5^2/DT/2),0)</f>
        <v>0.026000000000000092</v>
      </c>
      <c r="AP5" s="91">
        <f aca="true" t="shared" si="23" ref="AP5:AP36">IF(AND(AF5&lt;0,X5&gt;0,X5&lt;h),-((X5)^2/DT/2),0)</f>
        <v>0</v>
      </c>
      <c r="AQ5" s="89">
        <f aca="true" t="shared" si="24" ref="AQ5:AQ36">IF(AND(X5&gt;=0,X5&lt;h,AF5&gt;=0,AF5&lt;h),(X5+AF5)/2*bz,0)</f>
        <v>0</v>
      </c>
      <c r="AR5" s="90">
        <f aca="true" t="shared" si="25" ref="AR5:AR45">IF((bz*TAN(beta)+X5-h)/(TAN(beta)-DT)&gt;bz+R,bz+R,(bz*TAN(beta)+X5-h)/(TAN(beta)-DT))</f>
        <v>2.9953307392996114</v>
      </c>
      <c r="AS5" s="89">
        <f aca="true" t="shared" si="26" ref="AS5:AS36">IF(beta=0,0,IF(AND(AD5&gt;R,AD5&lt;hmx),(hmx-R)^2/TAN(beta)/2-(hmx-AD5)*(bz+R-AR5)/2,IF(AD5&gt;=hmx,(hmx-R)^2/TAN(beta)/2,0)))</f>
        <v>0</v>
      </c>
      <c r="AT5" s="90">
        <f aca="true" t="shared" si="27" ref="AT5:AT36">IF((h-bz*TAN(beta)-X5)/(DT-TAN(beta))&gt;(bz+R),(bz+R),(h-bz*TAN(beta)-X5)/(DT-TAN(beta)))</f>
        <v>2.9953307392996114</v>
      </c>
      <c r="AU5" s="89">
        <f aca="true" t="shared" si="28" ref="AU5:AU36">IF(AD5&gt;=R,-AN$1,IF(OR(AF5&lt;h,beta=0),0,-(AF5-h)*(AT5-bz)/2))</f>
        <v>0</v>
      </c>
      <c r="AV5" s="89">
        <f aca="true" t="shared" si="29" ref="AV5:AV36">IF(BB5,pro,IF(AND(AF5&lt;hmw,AD5&lt;=hmx,AF5&gt;R,AD5&gt;=R,hmw=hmx),pro-(hmw+hmx-AF5-AD5)/2*R,0))</f>
        <v>0</v>
      </c>
      <c r="AW5" s="89">
        <f aca="true" t="shared" si="30" ref="AW5:AW36">IF(BA5,pro+(hmx-AD5)^2/2/DT,0)</f>
        <v>0</v>
      </c>
      <c r="AX5" s="89">
        <f aca="true" t="shared" si="31" ref="AX5:AX36">IF(AZ5,pro-(hmw-AF5)^2/2/DT,0)</f>
        <v>0</v>
      </c>
      <c r="AY5" s="89">
        <f aca="true" t="shared" si="32" ref="AY5:AY36">IF(AND(AF5&lt;R,AD5&gt;R,hmx&gt;R,hmw=hmx),(AD5-R)^2/2/DT,0)</f>
        <v>0</v>
      </c>
      <c r="AZ5" s="90" t="b">
        <f aca="true" t="shared" si="33" ref="AZ5:AZ36">AND(AF5&gt;R,AD5&gt;R,AF5&lt;hmx,AD5&gt;=hmx,hmw=hmx)</f>
        <v>0</v>
      </c>
      <c r="BA5" s="90" t="b">
        <f aca="true" t="shared" si="34" ref="BA5:BA36">AND(AF5&gt;R,AD5&gt;R,AD5&lt;hmx,AF5&gt;=hmw,hmw=hmx)</f>
        <v>0</v>
      </c>
      <c r="BB5" s="64" t="b">
        <f aca="true" t="shared" si="35" ref="BB5:BB36">AND(AF5&gt;hmw,AD5&gt;hmx,hmx&gt;R,hmw&gt;R)</f>
        <v>0</v>
      </c>
      <c r="BC5" s="92">
        <f aca="true" t="shared" si="36" ref="BC5:BC36">IF(AND(hmx=hmw,R=0,AD5&gt;0,AF5&gt;0,AD5&gt;=(-X5)),(X5+AD5)*bz/2,0)</f>
        <v>0</v>
      </c>
      <c r="BD5" s="90">
        <f aca="true" t="shared" si="37" ref="BD5:BD31">IF(R&gt;0,(AI5+AJ5+AL5+AN5+AO5+AP5+AQ5+AS5+AU5+AV5+AW5+AX5+AY5),(BC5+AP5))</f>
        <v>0.031106041434807066</v>
      </c>
      <c r="BE5" s="89"/>
      <c r="BF5" s="90">
        <f>IF(BD5&gt;FF,FF/2,BD5/2)</f>
        <v>0.015553020717403533</v>
      </c>
      <c r="BG5" s="90"/>
      <c r="BH5" s="89"/>
      <c r="BI5" s="50"/>
      <c r="BJ5" s="50"/>
      <c r="BK5" s="51"/>
      <c r="BL5" s="51"/>
      <c r="BM5" s="50"/>
      <c r="BN5" s="51"/>
      <c r="BO5" s="51"/>
      <c r="BP5" s="51"/>
      <c r="BQ5" s="51"/>
      <c r="BR5" s="50"/>
      <c r="BS5" s="54"/>
      <c r="BT5" s="54"/>
      <c r="BU5" s="54"/>
      <c r="BV5" s="43"/>
      <c r="BW5" s="56"/>
      <c r="BX5" s="43"/>
      <c r="BY5" s="43"/>
      <c r="BZ5" s="43"/>
      <c r="CA5" s="43"/>
      <c r="CB5" s="43"/>
      <c r="CC5" s="4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</row>
    <row r="6" spans="1:203" ht="12.75">
      <c r="A6" s="64"/>
      <c r="B6" s="64" t="s">
        <v>24</v>
      </c>
      <c r="C6" s="64">
        <f>-2*bz</f>
        <v>-12</v>
      </c>
      <c r="D6" s="64"/>
      <c r="E6" s="64"/>
      <c r="F6" s="64">
        <f>F5+1</f>
        <v>1</v>
      </c>
      <c r="G6" s="64">
        <f aca="true" t="shared" si="38" ref="G6:G37">hmx*F6/100</f>
        <v>0.04</v>
      </c>
      <c r="H6" s="75">
        <v>1</v>
      </c>
      <c r="I6" s="64">
        <f t="shared" si="0"/>
        <v>-12</v>
      </c>
      <c r="J6" s="64">
        <f t="shared" si="1"/>
        <v>35.7616</v>
      </c>
      <c r="K6" s="64">
        <f aca="true" t="shared" si="39" ref="K6:K45">IF((I6^2-4*H6*J6)&gt;=0,(I6^2-4*H6*J6)^0.5,0)</f>
        <v>0.9765244492586934</v>
      </c>
      <c r="L6" s="64">
        <f t="shared" si="2"/>
        <v>6.488262224629347</v>
      </c>
      <c r="M6" s="64">
        <f aca="true" t="shared" si="40" ref="M6:M45">G6</f>
        <v>0.04</v>
      </c>
      <c r="N6" s="64">
        <f t="shared" si="3"/>
        <v>0.163481306371142</v>
      </c>
      <c r="O6" s="64">
        <f t="shared" si="4"/>
        <v>0.013037786218704661</v>
      </c>
      <c r="P6" s="64">
        <f t="shared" si="5"/>
        <v>0.24</v>
      </c>
      <c r="Q6" s="64">
        <f t="shared" si="6"/>
        <v>0</v>
      </c>
      <c r="R6" s="64">
        <f t="shared" si="7"/>
        <v>0</v>
      </c>
      <c r="S6" s="93">
        <f aca="true" t="shared" si="41" ref="S6:S45">O6+P6-Q6+R6</f>
        <v>0.25303778621870465</v>
      </c>
      <c r="T6" s="94">
        <f>ROUND(G6,3)</f>
        <v>0.04</v>
      </c>
      <c r="U6" s="95">
        <f aca="true" t="shared" si="42" ref="U6:U45">S6</f>
        <v>0.25303778621870465</v>
      </c>
      <c r="V6" s="64"/>
      <c r="W6" s="75">
        <f aca="true" t="shared" si="43" ref="W6:W69">W5+DL</f>
        <v>0.2</v>
      </c>
      <c r="X6" s="86">
        <f aca="true" t="shared" si="44" ref="X6:X69">hpo+W6*t</f>
        <v>-0.025881118881118718</v>
      </c>
      <c r="Y6" s="64">
        <f t="shared" si="8"/>
        <v>1.0000591715976332</v>
      </c>
      <c r="Z6" s="64">
        <f t="shared" si="9"/>
        <v>-12.046552017213555</v>
      </c>
      <c r="AA6" s="64">
        <f t="shared" si="10"/>
        <v>36.15595654560125</v>
      </c>
      <c r="AB6" s="64">
        <f aca="true" t="shared" si="45" ref="AB6:AB45">IF((Z6^2-4*Y6*AA6)&gt;0,(Z6^2-4*Y6*AA6)^0.5,0)</f>
        <v>0.697876563710188</v>
      </c>
      <c r="AC6" s="64">
        <f aca="true" t="shared" si="46" ref="AC6:AC45">(-Z6+AB6)/(2*Y6)</f>
        <v>6.371837258671417</v>
      </c>
      <c r="AD6" s="64">
        <f t="shared" si="11"/>
        <v>0.023133013877892006</v>
      </c>
      <c r="AE6" s="64">
        <f t="shared" si="12"/>
        <v>0.12426532087546627</v>
      </c>
      <c r="AF6" s="86">
        <f t="shared" si="13"/>
        <v>0.020272727272727272</v>
      </c>
      <c r="AG6" s="64">
        <f t="shared" si="14"/>
        <v>0.5591939439395982</v>
      </c>
      <c r="AH6" s="64">
        <f t="shared" si="15"/>
        <v>0.5539868103396833</v>
      </c>
      <c r="AI6" s="87">
        <f t="shared" si="16"/>
        <v>0.0052071335999148705</v>
      </c>
      <c r="AJ6" s="87">
        <f t="shared" si="17"/>
        <v>0</v>
      </c>
      <c r="AK6" s="88">
        <f t="shared" si="18"/>
        <v>263.3645454545464</v>
      </c>
      <c r="AL6" s="89">
        <f t="shared" si="19"/>
        <v>0</v>
      </c>
      <c r="AM6" s="90">
        <f t="shared" si="20"/>
        <v>257.3645454545464</v>
      </c>
      <c r="AN6" s="89">
        <f t="shared" si="21"/>
        <v>0</v>
      </c>
      <c r="AO6" s="89">
        <f t="shared" si="22"/>
        <v>0.026713925619834804</v>
      </c>
      <c r="AP6" s="91">
        <f t="shared" si="23"/>
        <v>0</v>
      </c>
      <c r="AQ6" s="89">
        <f t="shared" si="24"/>
        <v>0</v>
      </c>
      <c r="AR6" s="90">
        <f t="shared" si="25"/>
        <v>2.9957446055889636</v>
      </c>
      <c r="AS6" s="89">
        <f t="shared" si="26"/>
        <v>0</v>
      </c>
      <c r="AT6" s="90">
        <f t="shared" si="27"/>
        <v>2.9957446055889636</v>
      </c>
      <c r="AU6" s="89">
        <f t="shared" si="28"/>
        <v>0</v>
      </c>
      <c r="AV6" s="89">
        <f t="shared" si="29"/>
        <v>0</v>
      </c>
      <c r="AW6" s="89">
        <f t="shared" si="30"/>
        <v>0</v>
      </c>
      <c r="AX6" s="89">
        <f t="shared" si="31"/>
        <v>0</v>
      </c>
      <c r="AY6" s="89">
        <f t="shared" si="32"/>
        <v>0</v>
      </c>
      <c r="AZ6" s="90" t="b">
        <f t="shared" si="33"/>
        <v>0</v>
      </c>
      <c r="BA6" s="90" t="b">
        <f t="shared" si="34"/>
        <v>0</v>
      </c>
      <c r="BB6" s="64" t="b">
        <f t="shared" si="35"/>
        <v>0</v>
      </c>
      <c r="BC6" s="92">
        <f t="shared" si="36"/>
        <v>0</v>
      </c>
      <c r="BD6" s="90">
        <f t="shared" si="37"/>
        <v>0.03192105921974968</v>
      </c>
      <c r="BE6" s="89"/>
      <c r="BF6" s="90">
        <f aca="true" t="shared" si="47" ref="BF6:BF37">IF(BD6&gt;FF,FF,BD6)</f>
        <v>0.03192105921974968</v>
      </c>
      <c r="BG6" s="90"/>
      <c r="BH6" s="89"/>
      <c r="BI6" s="50"/>
      <c r="BJ6" s="50"/>
      <c r="BK6" s="51"/>
      <c r="BL6" s="51"/>
      <c r="BM6" s="50"/>
      <c r="BN6" s="51"/>
      <c r="BO6" s="51"/>
      <c r="BP6" s="51"/>
      <c r="BQ6" s="51"/>
      <c r="BR6" s="50"/>
      <c r="BS6" s="54"/>
      <c r="BT6" s="54"/>
      <c r="BU6" s="54"/>
      <c r="BV6" s="43"/>
      <c r="BW6" s="56"/>
      <c r="BX6" s="43"/>
      <c r="BY6" s="43"/>
      <c r="BZ6" s="43"/>
      <c r="CA6" s="43"/>
      <c r="CB6" s="43"/>
      <c r="CC6" s="4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</row>
    <row r="7" spans="1:203" ht="12.75">
      <c r="A7" s="64"/>
      <c r="B7" s="64" t="s">
        <v>25</v>
      </c>
      <c r="C7" s="64"/>
      <c r="D7" s="64"/>
      <c r="E7" s="64"/>
      <c r="F7" s="64">
        <f aca="true" t="shared" si="48" ref="F7:F70">F6+1</f>
        <v>2</v>
      </c>
      <c r="G7" s="64">
        <f t="shared" si="38"/>
        <v>0.08</v>
      </c>
      <c r="H7" s="75">
        <v>1</v>
      </c>
      <c r="I7" s="64">
        <f t="shared" si="0"/>
        <v>-12</v>
      </c>
      <c r="J7" s="64">
        <f t="shared" si="1"/>
        <v>35.5264</v>
      </c>
      <c r="K7" s="64">
        <f t="shared" si="39"/>
        <v>1.3763720427268167</v>
      </c>
      <c r="L7" s="64">
        <f t="shared" si="2"/>
        <v>6.688186021363409</v>
      </c>
      <c r="M7" s="64">
        <f t="shared" si="40"/>
        <v>0.08</v>
      </c>
      <c r="N7" s="64">
        <f t="shared" si="3"/>
        <v>0.23145641177862575</v>
      </c>
      <c r="O7" s="64">
        <f t="shared" si="4"/>
        <v>0.03680226181323598</v>
      </c>
      <c r="P7" s="64">
        <f t="shared" si="5"/>
        <v>0.48</v>
      </c>
      <c r="Q7" s="64">
        <f t="shared" si="6"/>
        <v>0</v>
      </c>
      <c r="R7" s="64">
        <f t="shared" si="7"/>
        <v>0</v>
      </c>
      <c r="S7" s="93">
        <f t="shared" si="41"/>
        <v>0.516802261813236</v>
      </c>
      <c r="T7" s="94">
        <f aca="true" t="shared" si="49" ref="T7:T70">ROUND(G7,3)</f>
        <v>0.08</v>
      </c>
      <c r="U7" s="95">
        <f t="shared" si="42"/>
        <v>0.516802261813236</v>
      </c>
      <c r="V7" s="64"/>
      <c r="W7" s="75">
        <f t="shared" si="43"/>
        <v>0.4</v>
      </c>
      <c r="X7" s="86">
        <f t="shared" si="44"/>
        <v>-0.025608391608391443</v>
      </c>
      <c r="Y7" s="64">
        <f t="shared" si="8"/>
        <v>1.0000591715976332</v>
      </c>
      <c r="Z7" s="64">
        <f t="shared" si="9"/>
        <v>-12.04654782140936</v>
      </c>
      <c r="AA7" s="64">
        <f t="shared" si="10"/>
        <v>36.154306139371116</v>
      </c>
      <c r="AB7" s="64">
        <f t="shared" si="45"/>
        <v>0.7025187711341249</v>
      </c>
      <c r="AC7" s="64">
        <f t="shared" si="46"/>
        <v>6.374156127270129</v>
      </c>
      <c r="AD7" s="64">
        <f t="shared" si="11"/>
        <v>0.023423578601378607</v>
      </c>
      <c r="AE7" s="64">
        <f t="shared" si="12"/>
        <v>0.12504432163946344</v>
      </c>
      <c r="AF7" s="86">
        <f t="shared" si="13"/>
        <v>0.020545454545454547</v>
      </c>
      <c r="AG7" s="64">
        <f t="shared" si="14"/>
        <v>0.5626994473775855</v>
      </c>
      <c r="AH7" s="64">
        <f t="shared" si="15"/>
        <v>0.5573905870523274</v>
      </c>
      <c r="AI7" s="87">
        <f t="shared" si="16"/>
        <v>0.005308860325258125</v>
      </c>
      <c r="AJ7" s="87">
        <f t="shared" si="17"/>
        <v>0</v>
      </c>
      <c r="AK7" s="88">
        <f t="shared" si="18"/>
        <v>263.32909090909186</v>
      </c>
      <c r="AL7" s="89">
        <f t="shared" si="19"/>
        <v>0</v>
      </c>
      <c r="AM7" s="90">
        <f t="shared" si="20"/>
        <v>257.3290909090918</v>
      </c>
      <c r="AN7" s="89">
        <f t="shared" si="21"/>
        <v>0</v>
      </c>
      <c r="AO7" s="89">
        <f t="shared" si="22"/>
        <v>0.027437520661157126</v>
      </c>
      <c r="AP7" s="91">
        <f t="shared" si="23"/>
        <v>0</v>
      </c>
      <c r="AQ7" s="89">
        <f t="shared" si="24"/>
        <v>0</v>
      </c>
      <c r="AR7" s="90">
        <f t="shared" si="25"/>
        <v>2.9961584718783163</v>
      </c>
      <c r="AS7" s="89">
        <f t="shared" si="26"/>
        <v>0</v>
      </c>
      <c r="AT7" s="90">
        <f t="shared" si="27"/>
        <v>2.9961584718783167</v>
      </c>
      <c r="AU7" s="89">
        <f t="shared" si="28"/>
        <v>0</v>
      </c>
      <c r="AV7" s="89">
        <f t="shared" si="29"/>
        <v>0</v>
      </c>
      <c r="AW7" s="89">
        <f t="shared" si="30"/>
        <v>0</v>
      </c>
      <c r="AX7" s="89">
        <f t="shared" si="31"/>
        <v>0</v>
      </c>
      <c r="AY7" s="89">
        <f t="shared" si="32"/>
        <v>0</v>
      </c>
      <c r="AZ7" s="90" t="b">
        <f t="shared" si="33"/>
        <v>0</v>
      </c>
      <c r="BA7" s="90" t="b">
        <f t="shared" si="34"/>
        <v>0</v>
      </c>
      <c r="BB7" s="64" t="b">
        <f t="shared" si="35"/>
        <v>0</v>
      </c>
      <c r="BC7" s="92">
        <f t="shared" si="36"/>
        <v>0</v>
      </c>
      <c r="BD7" s="90">
        <f t="shared" si="37"/>
        <v>0.03274638098641525</v>
      </c>
      <c r="BE7" s="89"/>
      <c r="BF7" s="90">
        <f t="shared" si="47"/>
        <v>0.03274638098641525</v>
      </c>
      <c r="BG7" s="90"/>
      <c r="BH7" s="89"/>
      <c r="BI7" s="50"/>
      <c r="BJ7" s="50"/>
      <c r="BK7" s="51"/>
      <c r="BL7" s="51"/>
      <c r="BM7" s="50"/>
      <c r="BN7" s="51"/>
      <c r="BO7" s="51"/>
      <c r="BP7" s="51"/>
      <c r="BQ7" s="51"/>
      <c r="BR7" s="50"/>
      <c r="BS7" s="54"/>
      <c r="BT7" s="54"/>
      <c r="BU7" s="54"/>
      <c r="BV7" s="43"/>
      <c r="BW7" s="56"/>
      <c r="BX7" s="43"/>
      <c r="BY7" s="43"/>
      <c r="BZ7" s="43"/>
      <c r="CA7" s="43"/>
      <c r="CB7" s="43"/>
      <c r="CC7" s="4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</row>
    <row r="8" spans="1:203" ht="12.75">
      <c r="A8" s="64"/>
      <c r="B8" s="64"/>
      <c r="C8" s="64"/>
      <c r="D8" s="64"/>
      <c r="E8" s="64"/>
      <c r="F8" s="64">
        <f t="shared" si="48"/>
        <v>3</v>
      </c>
      <c r="G8" s="64">
        <f t="shared" si="38"/>
        <v>0.12</v>
      </c>
      <c r="H8" s="75">
        <v>1</v>
      </c>
      <c r="I8" s="64">
        <f t="shared" si="0"/>
        <v>-12</v>
      </c>
      <c r="J8" s="64">
        <f t="shared" si="1"/>
        <v>35.2944</v>
      </c>
      <c r="K8" s="64">
        <f t="shared" si="39"/>
        <v>1.6799999999999964</v>
      </c>
      <c r="L8" s="64">
        <f t="shared" si="2"/>
        <v>6.839999999999998</v>
      </c>
      <c r="M8" s="64">
        <f t="shared" si="40"/>
        <v>0.12</v>
      </c>
      <c r="N8" s="64">
        <f t="shared" si="3"/>
        <v>0.28379410920832804</v>
      </c>
      <c r="O8" s="64">
        <f t="shared" si="4"/>
        <v>0.0674734914374755</v>
      </c>
      <c r="P8" s="64">
        <f t="shared" si="5"/>
        <v>0.72</v>
      </c>
      <c r="Q8" s="64">
        <f t="shared" si="6"/>
        <v>0</v>
      </c>
      <c r="R8" s="64">
        <f t="shared" si="7"/>
        <v>0</v>
      </c>
      <c r="S8" s="93">
        <f t="shared" si="41"/>
        <v>0.7874734914374755</v>
      </c>
      <c r="T8" s="94">
        <f t="shared" si="49"/>
        <v>0.12</v>
      </c>
      <c r="U8" s="95">
        <f t="shared" si="42"/>
        <v>0.7874734914374755</v>
      </c>
      <c r="V8" s="64"/>
      <c r="W8" s="75">
        <f t="shared" si="43"/>
        <v>0.6000000000000001</v>
      </c>
      <c r="X8" s="86">
        <f t="shared" si="44"/>
        <v>-0.02533566433566417</v>
      </c>
      <c r="Y8" s="64">
        <f t="shared" si="8"/>
        <v>1.0000591715976332</v>
      </c>
      <c r="Z8" s="64">
        <f t="shared" si="9"/>
        <v>-12.046543625605164</v>
      </c>
      <c r="AA8" s="64">
        <f t="shared" si="10"/>
        <v>36.15265588190131</v>
      </c>
      <c r="AB8" s="64">
        <f t="shared" si="45"/>
        <v>0.7071300830641553</v>
      </c>
      <c r="AC8" s="64">
        <f t="shared" si="46"/>
        <v>6.3764595490359</v>
      </c>
      <c r="AD8" s="64">
        <f t="shared" si="11"/>
        <v>0.023714024503073347</v>
      </c>
      <c r="AE8" s="64">
        <f t="shared" si="12"/>
        <v>0.12581820872007543</v>
      </c>
      <c r="AF8" s="86">
        <f t="shared" si="13"/>
        <v>0.02081818181818182</v>
      </c>
      <c r="AG8" s="64">
        <f t="shared" si="14"/>
        <v>0.5661819392403394</v>
      </c>
      <c r="AH8" s="64">
        <f t="shared" si="15"/>
        <v>0.56077072188434</v>
      </c>
      <c r="AI8" s="87">
        <f t="shared" si="16"/>
        <v>0.005411217355999476</v>
      </c>
      <c r="AJ8" s="87">
        <f t="shared" si="17"/>
        <v>0</v>
      </c>
      <c r="AK8" s="88">
        <f t="shared" si="18"/>
        <v>263.2936363636373</v>
      </c>
      <c r="AL8" s="89">
        <f t="shared" si="19"/>
        <v>0</v>
      </c>
      <c r="AM8" s="90">
        <f t="shared" si="20"/>
        <v>257.2936363636373</v>
      </c>
      <c r="AN8" s="89">
        <f t="shared" si="21"/>
        <v>0</v>
      </c>
      <c r="AO8" s="89">
        <f t="shared" si="22"/>
        <v>0.028170785123967045</v>
      </c>
      <c r="AP8" s="91">
        <f t="shared" si="23"/>
        <v>0</v>
      </c>
      <c r="AQ8" s="89">
        <f t="shared" si="24"/>
        <v>0</v>
      </c>
      <c r="AR8" s="90">
        <f t="shared" si="25"/>
        <v>2.996572338167669</v>
      </c>
      <c r="AS8" s="89">
        <f t="shared" si="26"/>
        <v>0</v>
      </c>
      <c r="AT8" s="90">
        <f t="shared" si="27"/>
        <v>2.9965723381676694</v>
      </c>
      <c r="AU8" s="89">
        <f t="shared" si="28"/>
        <v>0</v>
      </c>
      <c r="AV8" s="89">
        <f t="shared" si="29"/>
        <v>0</v>
      </c>
      <c r="AW8" s="89">
        <f t="shared" si="30"/>
        <v>0</v>
      </c>
      <c r="AX8" s="89">
        <f t="shared" si="31"/>
        <v>0</v>
      </c>
      <c r="AY8" s="89">
        <f t="shared" si="32"/>
        <v>0</v>
      </c>
      <c r="AZ8" s="90" t="b">
        <f t="shared" si="33"/>
        <v>0</v>
      </c>
      <c r="BA8" s="90" t="b">
        <f t="shared" si="34"/>
        <v>0</v>
      </c>
      <c r="BB8" s="64" t="b">
        <f t="shared" si="35"/>
        <v>0</v>
      </c>
      <c r="BC8" s="92">
        <f t="shared" si="36"/>
        <v>0</v>
      </c>
      <c r="BD8" s="90">
        <f t="shared" si="37"/>
        <v>0.033582002479966525</v>
      </c>
      <c r="BE8" s="89"/>
      <c r="BF8" s="90">
        <f t="shared" si="47"/>
        <v>0.033582002479966525</v>
      </c>
      <c r="BG8" s="90"/>
      <c r="BH8" s="89"/>
      <c r="BI8" s="50"/>
      <c r="BJ8" s="50"/>
      <c r="BK8" s="51"/>
      <c r="BL8" s="51"/>
      <c r="BM8" s="50"/>
      <c r="BN8" s="51"/>
      <c r="BO8" s="51"/>
      <c r="BP8" s="51"/>
      <c r="BQ8" s="51"/>
      <c r="BR8" s="50"/>
      <c r="BS8" s="54"/>
      <c r="BT8" s="54"/>
      <c r="BU8" s="54"/>
      <c r="BV8" s="43"/>
      <c r="BW8" s="56"/>
      <c r="BX8" s="43"/>
      <c r="BY8" s="43"/>
      <c r="BZ8" s="43"/>
      <c r="CA8" s="43"/>
      <c r="CB8" s="43"/>
      <c r="CC8" s="4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</row>
    <row r="9" spans="1:203" ht="12.75">
      <c r="A9" s="64"/>
      <c r="B9" s="64"/>
      <c r="C9" s="64"/>
      <c r="D9" s="64"/>
      <c r="E9" s="64"/>
      <c r="F9" s="64">
        <f t="shared" si="48"/>
        <v>4</v>
      </c>
      <c r="G9" s="64">
        <f t="shared" si="38"/>
        <v>0.16</v>
      </c>
      <c r="H9" s="75">
        <v>1</v>
      </c>
      <c r="I9" s="64">
        <f t="shared" si="0"/>
        <v>-12</v>
      </c>
      <c r="J9" s="64">
        <f t="shared" si="1"/>
        <v>35.065599999999996</v>
      </c>
      <c r="K9" s="64">
        <f t="shared" si="39"/>
        <v>1.9332873557751353</v>
      </c>
      <c r="L9" s="64">
        <f t="shared" si="2"/>
        <v>6.966643677887568</v>
      </c>
      <c r="M9" s="64">
        <f t="shared" si="40"/>
        <v>0.16</v>
      </c>
      <c r="N9" s="64">
        <f t="shared" si="3"/>
        <v>0.3280678820459504</v>
      </c>
      <c r="O9" s="64">
        <f t="shared" si="4"/>
        <v>0.10367144660643346</v>
      </c>
      <c r="P9" s="64">
        <f t="shared" si="5"/>
        <v>0.96</v>
      </c>
      <c r="Q9" s="64">
        <f t="shared" si="6"/>
        <v>0</v>
      </c>
      <c r="R9" s="64">
        <f t="shared" si="7"/>
        <v>0</v>
      </c>
      <c r="S9" s="93">
        <f t="shared" si="41"/>
        <v>1.0636714466064334</v>
      </c>
      <c r="T9" s="94">
        <f t="shared" si="49"/>
        <v>0.16</v>
      </c>
      <c r="U9" s="95">
        <f t="shared" si="42"/>
        <v>1.0636714466064334</v>
      </c>
      <c r="V9" s="64"/>
      <c r="W9" s="75">
        <f t="shared" si="43"/>
        <v>0.8</v>
      </c>
      <c r="X9" s="86">
        <f t="shared" si="44"/>
        <v>-0.025062937062936896</v>
      </c>
      <c r="Y9" s="64">
        <f t="shared" si="8"/>
        <v>1.0000591715976332</v>
      </c>
      <c r="Z9" s="64">
        <f t="shared" si="9"/>
        <v>-12.046539429800967</v>
      </c>
      <c r="AA9" s="64">
        <f t="shared" si="10"/>
        <v>36.15100577319184</v>
      </c>
      <c r="AB9" s="64">
        <f t="shared" si="45"/>
        <v>0.7117111000338818</v>
      </c>
      <c r="AC9" s="64">
        <f t="shared" si="46"/>
        <v>6.378747824217767</v>
      </c>
      <c r="AD9" s="64">
        <f t="shared" si="11"/>
        <v>0.02400435389258421</v>
      </c>
      <c r="AE9" s="64">
        <f t="shared" si="12"/>
        <v>0.12658708197394053</v>
      </c>
      <c r="AF9" s="86">
        <f t="shared" si="13"/>
        <v>0.021090909090909094</v>
      </c>
      <c r="AG9" s="64">
        <f t="shared" si="14"/>
        <v>0.5696418688827324</v>
      </c>
      <c r="AH9" s="64">
        <f t="shared" si="15"/>
        <v>0.5641276683621717</v>
      </c>
      <c r="AI9" s="87">
        <f t="shared" si="16"/>
        <v>0.00551420052056073</v>
      </c>
      <c r="AJ9" s="87">
        <f t="shared" si="17"/>
        <v>0</v>
      </c>
      <c r="AK9" s="88">
        <f t="shared" si="18"/>
        <v>263.2581818181827</v>
      </c>
      <c r="AL9" s="89">
        <f t="shared" si="19"/>
        <v>0</v>
      </c>
      <c r="AM9" s="90">
        <f t="shared" si="20"/>
        <v>257.2581818181827</v>
      </c>
      <c r="AN9" s="89">
        <f t="shared" si="21"/>
        <v>0</v>
      </c>
      <c r="AO9" s="89">
        <f t="shared" si="22"/>
        <v>0.028913719008264574</v>
      </c>
      <c r="AP9" s="91">
        <f t="shared" si="23"/>
        <v>0</v>
      </c>
      <c r="AQ9" s="89">
        <f t="shared" si="24"/>
        <v>0</v>
      </c>
      <c r="AR9" s="90">
        <f t="shared" si="25"/>
        <v>2.996986204457022</v>
      </c>
      <c r="AS9" s="89">
        <f t="shared" si="26"/>
        <v>0</v>
      </c>
      <c r="AT9" s="90">
        <f t="shared" si="27"/>
        <v>2.9969862044570217</v>
      </c>
      <c r="AU9" s="89">
        <f t="shared" si="28"/>
        <v>0</v>
      </c>
      <c r="AV9" s="89">
        <f t="shared" si="29"/>
        <v>0</v>
      </c>
      <c r="AW9" s="89">
        <f t="shared" si="30"/>
        <v>0</v>
      </c>
      <c r="AX9" s="89">
        <f t="shared" si="31"/>
        <v>0</v>
      </c>
      <c r="AY9" s="89">
        <f t="shared" si="32"/>
        <v>0</v>
      </c>
      <c r="AZ9" s="90" t="b">
        <f t="shared" si="33"/>
        <v>0</v>
      </c>
      <c r="BA9" s="90" t="b">
        <f t="shared" si="34"/>
        <v>0</v>
      </c>
      <c r="BB9" s="64" t="b">
        <f t="shared" si="35"/>
        <v>0</v>
      </c>
      <c r="BC9" s="92">
        <f t="shared" si="36"/>
        <v>0</v>
      </c>
      <c r="BD9" s="90">
        <f t="shared" si="37"/>
        <v>0.034427919528825304</v>
      </c>
      <c r="BE9" s="89"/>
      <c r="BF9" s="90">
        <f t="shared" si="47"/>
        <v>0.034427919528825304</v>
      </c>
      <c r="BG9" s="90"/>
      <c r="BH9" s="89"/>
      <c r="BI9" s="50"/>
      <c r="BJ9" s="50"/>
      <c r="BK9" s="51"/>
      <c r="BL9" s="51"/>
      <c r="BM9" s="50"/>
      <c r="BN9" s="51"/>
      <c r="BO9" s="51"/>
      <c r="BP9" s="51"/>
      <c r="BQ9" s="51"/>
      <c r="BR9" s="50"/>
      <c r="BS9" s="54"/>
      <c r="BT9" s="54"/>
      <c r="BU9" s="54"/>
      <c r="BV9" s="43"/>
      <c r="BW9" s="56"/>
      <c r="BX9" s="43"/>
      <c r="BY9" s="43"/>
      <c r="BZ9" s="43"/>
      <c r="CA9" s="43"/>
      <c r="CB9" s="43"/>
      <c r="CC9" s="4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</row>
    <row r="10" spans="1:203" ht="12.75">
      <c r="A10" s="64"/>
      <c r="B10" s="64"/>
      <c r="C10" s="64"/>
      <c r="D10" s="64"/>
      <c r="E10" s="64"/>
      <c r="F10" s="64">
        <f t="shared" si="48"/>
        <v>5</v>
      </c>
      <c r="G10" s="64">
        <f t="shared" si="38"/>
        <v>0.2</v>
      </c>
      <c r="H10" s="75">
        <v>1</v>
      </c>
      <c r="I10" s="64">
        <f t="shared" si="0"/>
        <v>-12</v>
      </c>
      <c r="J10" s="64">
        <f t="shared" si="1"/>
        <v>34.839999999999996</v>
      </c>
      <c r="K10" s="64">
        <f t="shared" si="39"/>
        <v>2.154065922853805</v>
      </c>
      <c r="L10" s="64">
        <f t="shared" si="2"/>
        <v>7.0770329614269025</v>
      </c>
      <c r="M10" s="64">
        <f t="shared" si="40"/>
        <v>0.2</v>
      </c>
      <c r="N10" s="64">
        <f t="shared" si="3"/>
        <v>0.3672080205578374</v>
      </c>
      <c r="O10" s="64">
        <f t="shared" si="4"/>
        <v>0.14458994651260615</v>
      </c>
      <c r="P10" s="64">
        <f t="shared" si="5"/>
        <v>1.2000000000000002</v>
      </c>
      <c r="Q10" s="64">
        <f t="shared" si="6"/>
        <v>0</v>
      </c>
      <c r="R10" s="64">
        <f t="shared" si="7"/>
        <v>0</v>
      </c>
      <c r="S10" s="93">
        <f t="shared" si="41"/>
        <v>1.3445899465126063</v>
      </c>
      <c r="T10" s="94">
        <f t="shared" si="49"/>
        <v>0.2</v>
      </c>
      <c r="U10" s="95">
        <f t="shared" si="42"/>
        <v>1.3445899465126063</v>
      </c>
      <c r="V10" s="64"/>
      <c r="W10" s="75">
        <f t="shared" si="43"/>
        <v>1</v>
      </c>
      <c r="X10" s="86">
        <f t="shared" si="44"/>
        <v>-0.024790209790209624</v>
      </c>
      <c r="Y10" s="64">
        <f t="shared" si="8"/>
        <v>1.0000591715976332</v>
      </c>
      <c r="Z10" s="64">
        <f t="shared" si="9"/>
        <v>-12.046535233996773</v>
      </c>
      <c r="AA10" s="64">
        <f t="shared" si="10"/>
        <v>36.1493558132427</v>
      </c>
      <c r="AB10" s="64">
        <f t="shared" si="45"/>
        <v>0.7162624033183348</v>
      </c>
      <c r="AC10" s="64">
        <f t="shared" si="46"/>
        <v>6.381021243436049</v>
      </c>
      <c r="AD10" s="64">
        <f t="shared" si="11"/>
        <v>0.024294569005452116</v>
      </c>
      <c r="AE10" s="64">
        <f t="shared" si="12"/>
        <v>0.12735103805246073</v>
      </c>
      <c r="AF10" s="86">
        <f t="shared" si="13"/>
        <v>0.021363636363636366</v>
      </c>
      <c r="AG10" s="64">
        <f t="shared" si="14"/>
        <v>0.5730796712360733</v>
      </c>
      <c r="AH10" s="64">
        <f t="shared" si="15"/>
        <v>0.5674618655082789</v>
      </c>
      <c r="AI10" s="87">
        <f t="shared" si="16"/>
        <v>0.005617805727794356</v>
      </c>
      <c r="AJ10" s="87">
        <f t="shared" si="17"/>
        <v>0</v>
      </c>
      <c r="AK10" s="88">
        <f t="shared" si="18"/>
        <v>263.22272727272815</v>
      </c>
      <c r="AL10" s="89">
        <f t="shared" si="19"/>
        <v>0</v>
      </c>
      <c r="AM10" s="90">
        <f t="shared" si="20"/>
        <v>257.22272727272815</v>
      </c>
      <c r="AN10" s="89">
        <f t="shared" si="21"/>
        <v>0</v>
      </c>
      <c r="AO10" s="89">
        <f t="shared" si="22"/>
        <v>0.029666322314049698</v>
      </c>
      <c r="AP10" s="91">
        <f t="shared" si="23"/>
        <v>0</v>
      </c>
      <c r="AQ10" s="89">
        <f t="shared" si="24"/>
        <v>0</v>
      </c>
      <c r="AR10" s="90">
        <f t="shared" si="25"/>
        <v>2.997400070746375</v>
      </c>
      <c r="AS10" s="89">
        <f t="shared" si="26"/>
        <v>0</v>
      </c>
      <c r="AT10" s="90">
        <f t="shared" si="27"/>
        <v>2.997400070746375</v>
      </c>
      <c r="AU10" s="89">
        <f t="shared" si="28"/>
        <v>0</v>
      </c>
      <c r="AV10" s="89">
        <f t="shared" si="29"/>
        <v>0</v>
      </c>
      <c r="AW10" s="89">
        <f t="shared" si="30"/>
        <v>0</v>
      </c>
      <c r="AX10" s="89">
        <f t="shared" si="31"/>
        <v>0</v>
      </c>
      <c r="AY10" s="89">
        <f t="shared" si="32"/>
        <v>0</v>
      </c>
      <c r="AZ10" s="90" t="b">
        <f t="shared" si="33"/>
        <v>0</v>
      </c>
      <c r="BA10" s="90" t="b">
        <f t="shared" si="34"/>
        <v>0</v>
      </c>
      <c r="BB10" s="64" t="b">
        <f t="shared" si="35"/>
        <v>0</v>
      </c>
      <c r="BC10" s="92">
        <f t="shared" si="36"/>
        <v>0</v>
      </c>
      <c r="BD10" s="90">
        <f t="shared" si="37"/>
        <v>0.035284128041844054</v>
      </c>
      <c r="BE10" s="89"/>
      <c r="BF10" s="90">
        <f t="shared" si="47"/>
        <v>0.035284128041844054</v>
      </c>
      <c r="BG10" s="90"/>
      <c r="BH10" s="89"/>
      <c r="BI10" s="50"/>
      <c r="BJ10" s="50"/>
      <c r="BK10" s="51"/>
      <c r="BL10" s="51"/>
      <c r="BM10" s="50"/>
      <c r="BN10" s="51"/>
      <c r="BO10" s="51"/>
      <c r="BP10" s="51"/>
      <c r="BQ10" s="51"/>
      <c r="BR10" s="50"/>
      <c r="BS10" s="54"/>
      <c r="BT10" s="54"/>
      <c r="BU10" s="54"/>
      <c r="BV10" s="43"/>
      <c r="BW10" s="56"/>
      <c r="BX10" s="43"/>
      <c r="BY10" s="43"/>
      <c r="BZ10" s="43"/>
      <c r="CA10" s="43"/>
      <c r="CB10" s="43"/>
      <c r="CC10" s="4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</row>
    <row r="11" spans="1:203" ht="12.75">
      <c r="A11" s="64"/>
      <c r="B11" s="64"/>
      <c r="C11" s="64"/>
      <c r="D11" s="64"/>
      <c r="E11" s="64"/>
      <c r="F11" s="64">
        <f t="shared" si="48"/>
        <v>6</v>
      </c>
      <c r="G11" s="64">
        <f t="shared" si="38"/>
        <v>0.24</v>
      </c>
      <c r="H11" s="75">
        <v>1</v>
      </c>
      <c r="I11" s="64">
        <f t="shared" si="0"/>
        <v>-12</v>
      </c>
      <c r="J11" s="64">
        <f t="shared" si="1"/>
        <v>34.6176</v>
      </c>
      <c r="K11" s="64">
        <f t="shared" si="39"/>
        <v>2.3515101530718483</v>
      </c>
      <c r="L11" s="64">
        <f t="shared" si="2"/>
        <v>7.175755076535924</v>
      </c>
      <c r="M11" s="64">
        <f t="shared" si="40"/>
        <v>0.24</v>
      </c>
      <c r="N11" s="64">
        <f t="shared" si="3"/>
        <v>0.40271584158066176</v>
      </c>
      <c r="O11" s="64">
        <f t="shared" si="4"/>
        <v>0.1896792814934003</v>
      </c>
      <c r="P11" s="64">
        <f t="shared" si="5"/>
        <v>1.44</v>
      </c>
      <c r="Q11" s="64">
        <f t="shared" si="6"/>
        <v>0</v>
      </c>
      <c r="R11" s="64">
        <f t="shared" si="7"/>
        <v>0</v>
      </c>
      <c r="S11" s="93">
        <f t="shared" si="41"/>
        <v>1.6296792814934002</v>
      </c>
      <c r="T11" s="94">
        <f t="shared" si="49"/>
        <v>0.24</v>
      </c>
      <c r="U11" s="95">
        <f t="shared" si="42"/>
        <v>1.6296792814934002</v>
      </c>
      <c r="V11" s="64"/>
      <c r="W11" s="75">
        <f t="shared" si="43"/>
        <v>1.2</v>
      </c>
      <c r="X11" s="86">
        <f t="shared" si="44"/>
        <v>-0.02451748251748235</v>
      </c>
      <c r="Y11" s="64">
        <f t="shared" si="8"/>
        <v>1.0000591715976332</v>
      </c>
      <c r="Z11" s="64">
        <f t="shared" si="9"/>
        <v>-12.046531038192576</v>
      </c>
      <c r="AA11" s="64">
        <f t="shared" si="10"/>
        <v>36.14770600205389</v>
      </c>
      <c r="AB11" s="64">
        <f t="shared" si="45"/>
        <v>0.7207845557875643</v>
      </c>
      <c r="AC11" s="64">
        <f t="shared" si="46"/>
        <v>6.383280088109116</v>
      </c>
      <c r="AD11" s="64">
        <f t="shared" si="11"/>
        <v>0.02458467200643375</v>
      </c>
      <c r="AE11" s="64">
        <f t="shared" si="12"/>
        <v>0.1281101705439962</v>
      </c>
      <c r="AF11" s="86">
        <f t="shared" si="13"/>
        <v>0.02163636363636364</v>
      </c>
      <c r="AG11" s="64">
        <f t="shared" si="14"/>
        <v>0.5764957674479829</v>
      </c>
      <c r="AH11" s="64">
        <f t="shared" si="15"/>
        <v>0.5707737384832202</v>
      </c>
      <c r="AI11" s="87">
        <f t="shared" si="16"/>
        <v>0.005722028964762704</v>
      </c>
      <c r="AJ11" s="87">
        <f t="shared" si="17"/>
        <v>0</v>
      </c>
      <c r="AK11" s="88">
        <f t="shared" si="18"/>
        <v>263.18727272727364</v>
      </c>
      <c r="AL11" s="89">
        <f t="shared" si="19"/>
        <v>0</v>
      </c>
      <c r="AM11" s="90">
        <f t="shared" si="20"/>
        <v>257.18727272727364</v>
      </c>
      <c r="AN11" s="89">
        <f t="shared" si="21"/>
        <v>0</v>
      </c>
      <c r="AO11" s="89">
        <f t="shared" si="22"/>
        <v>0.030428595041322438</v>
      </c>
      <c r="AP11" s="91">
        <f t="shared" si="23"/>
        <v>0</v>
      </c>
      <c r="AQ11" s="89">
        <f t="shared" si="24"/>
        <v>0</v>
      </c>
      <c r="AR11" s="90">
        <f t="shared" si="25"/>
        <v>2.997813937035727</v>
      </c>
      <c r="AS11" s="89">
        <f t="shared" si="26"/>
        <v>0</v>
      </c>
      <c r="AT11" s="90">
        <f t="shared" si="27"/>
        <v>2.997813937035727</v>
      </c>
      <c r="AU11" s="89">
        <f t="shared" si="28"/>
        <v>0</v>
      </c>
      <c r="AV11" s="89">
        <f t="shared" si="29"/>
        <v>0</v>
      </c>
      <c r="AW11" s="89">
        <f t="shared" si="30"/>
        <v>0</v>
      </c>
      <c r="AX11" s="89">
        <f t="shared" si="31"/>
        <v>0</v>
      </c>
      <c r="AY11" s="89">
        <f t="shared" si="32"/>
        <v>0</v>
      </c>
      <c r="AZ11" s="90" t="b">
        <f t="shared" si="33"/>
        <v>0</v>
      </c>
      <c r="BA11" s="90" t="b">
        <f t="shared" si="34"/>
        <v>0</v>
      </c>
      <c r="BB11" s="64" t="b">
        <f t="shared" si="35"/>
        <v>0</v>
      </c>
      <c r="BC11" s="92">
        <f t="shared" si="36"/>
        <v>0</v>
      </c>
      <c r="BD11" s="90">
        <f t="shared" si="37"/>
        <v>0.03615062400608514</v>
      </c>
      <c r="BE11" s="89"/>
      <c r="BF11" s="90">
        <f t="shared" si="47"/>
        <v>0.03615062400608514</v>
      </c>
      <c r="BG11" s="90"/>
      <c r="BH11" s="89"/>
      <c r="BI11" s="50"/>
      <c r="BJ11" s="50"/>
      <c r="BK11" s="51"/>
      <c r="BL11" s="51"/>
      <c r="BM11" s="50"/>
      <c r="BN11" s="51"/>
      <c r="BO11" s="51"/>
      <c r="BP11" s="51"/>
      <c r="BQ11" s="51"/>
      <c r="BR11" s="50"/>
      <c r="BS11" s="54"/>
      <c r="BT11" s="54"/>
      <c r="BU11" s="54"/>
      <c r="BV11" s="43"/>
      <c r="BW11" s="56"/>
      <c r="BX11" s="43"/>
      <c r="BY11" s="43"/>
      <c r="BZ11" s="43"/>
      <c r="CA11" s="43"/>
      <c r="CB11" s="43"/>
      <c r="CC11" s="4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</row>
    <row r="12" spans="1:203" ht="12.75">
      <c r="A12" s="64"/>
      <c r="B12" s="64"/>
      <c r="C12" s="64"/>
      <c r="D12" s="64"/>
      <c r="E12" s="64"/>
      <c r="F12" s="64">
        <f t="shared" si="48"/>
        <v>7</v>
      </c>
      <c r="G12" s="64">
        <f t="shared" si="38"/>
        <v>0.28</v>
      </c>
      <c r="H12" s="75">
        <v>1</v>
      </c>
      <c r="I12" s="64">
        <f t="shared" si="0"/>
        <v>-12</v>
      </c>
      <c r="J12" s="64">
        <f t="shared" si="1"/>
        <v>34.3984</v>
      </c>
      <c r="K12" s="64">
        <f t="shared" si="39"/>
        <v>2.531086723129018</v>
      </c>
      <c r="L12" s="64">
        <f t="shared" si="2"/>
        <v>7.265543361564509</v>
      </c>
      <c r="M12" s="64">
        <f t="shared" si="40"/>
        <v>0.28</v>
      </c>
      <c r="N12" s="64">
        <f t="shared" si="3"/>
        <v>0.43548235672416125</v>
      </c>
      <c r="O12" s="64">
        <f t="shared" si="4"/>
        <v>0.23853163353099216</v>
      </c>
      <c r="P12" s="64">
        <f t="shared" si="5"/>
        <v>1.6800000000000002</v>
      </c>
      <c r="Q12" s="64">
        <f t="shared" si="6"/>
        <v>0</v>
      </c>
      <c r="R12" s="64">
        <f t="shared" si="7"/>
        <v>0</v>
      </c>
      <c r="S12" s="93">
        <f t="shared" si="41"/>
        <v>1.9185316335309923</v>
      </c>
      <c r="T12" s="94">
        <f t="shared" si="49"/>
        <v>0.28</v>
      </c>
      <c r="U12" s="95">
        <f t="shared" si="42"/>
        <v>1.9185316335309923</v>
      </c>
      <c r="V12" s="64"/>
      <c r="W12" s="75">
        <f t="shared" si="43"/>
        <v>1.4</v>
      </c>
      <c r="X12" s="86">
        <f t="shared" si="44"/>
        <v>-0.024244755244755077</v>
      </c>
      <c r="Y12" s="64">
        <f t="shared" si="8"/>
        <v>1.0000591715976332</v>
      </c>
      <c r="Z12" s="64">
        <f t="shared" si="9"/>
        <v>-12.046526842388381</v>
      </c>
      <c r="AA12" s="64">
        <f t="shared" si="10"/>
        <v>36.14605633962541</v>
      </c>
      <c r="AB12" s="64">
        <f t="shared" si="45"/>
        <v>0.7252781027130973</v>
      </c>
      <c r="AC12" s="64">
        <f t="shared" si="46"/>
        <v>6.385524630856605</v>
      </c>
      <c r="AD12" s="64">
        <f t="shared" si="11"/>
        <v>0.024874664992603254</v>
      </c>
      <c r="AE12" s="64">
        <f t="shared" si="12"/>
        <v>0.1288645701080533</v>
      </c>
      <c r="AF12" s="86">
        <f t="shared" si="13"/>
        <v>0.021909090909090913</v>
      </c>
      <c r="AG12" s="64">
        <f t="shared" si="14"/>
        <v>0.5798905654862399</v>
      </c>
      <c r="AH12" s="64">
        <f t="shared" si="15"/>
        <v>0.5740636991923426</v>
      </c>
      <c r="AI12" s="87">
        <f t="shared" si="16"/>
        <v>0.0058268662938972815</v>
      </c>
      <c r="AJ12" s="87">
        <f t="shared" si="17"/>
        <v>0</v>
      </c>
      <c r="AK12" s="88">
        <f t="shared" si="18"/>
        <v>263.1518181818191</v>
      </c>
      <c r="AL12" s="89">
        <f t="shared" si="19"/>
        <v>0</v>
      </c>
      <c r="AM12" s="90">
        <f t="shared" si="20"/>
        <v>257.1518181818191</v>
      </c>
      <c r="AN12" s="89">
        <f t="shared" si="21"/>
        <v>0</v>
      </c>
      <c r="AO12" s="89">
        <f t="shared" si="22"/>
        <v>0.031200537190082766</v>
      </c>
      <c r="AP12" s="91">
        <f t="shared" si="23"/>
        <v>0</v>
      </c>
      <c r="AQ12" s="89">
        <f t="shared" si="24"/>
        <v>0</v>
      </c>
      <c r="AR12" s="90">
        <f t="shared" si="25"/>
        <v>2.9982278033250798</v>
      </c>
      <c r="AS12" s="89">
        <f t="shared" si="26"/>
        <v>0</v>
      </c>
      <c r="AT12" s="90">
        <f t="shared" si="27"/>
        <v>2.9982278033250798</v>
      </c>
      <c r="AU12" s="89">
        <f t="shared" si="28"/>
        <v>0</v>
      </c>
      <c r="AV12" s="89">
        <f t="shared" si="29"/>
        <v>0</v>
      </c>
      <c r="AW12" s="89">
        <f t="shared" si="30"/>
        <v>0</v>
      </c>
      <c r="AX12" s="89">
        <f t="shared" si="31"/>
        <v>0</v>
      </c>
      <c r="AY12" s="89">
        <f t="shared" si="32"/>
        <v>0</v>
      </c>
      <c r="AZ12" s="90" t="b">
        <f t="shared" si="33"/>
        <v>0</v>
      </c>
      <c r="BA12" s="90" t="b">
        <f t="shared" si="34"/>
        <v>0</v>
      </c>
      <c r="BB12" s="64" t="b">
        <f t="shared" si="35"/>
        <v>0</v>
      </c>
      <c r="BC12" s="92">
        <f t="shared" si="36"/>
        <v>0</v>
      </c>
      <c r="BD12" s="90">
        <f t="shared" si="37"/>
        <v>0.03702740348398005</v>
      </c>
      <c r="BE12" s="89"/>
      <c r="BF12" s="90">
        <f t="shared" si="47"/>
        <v>0.03702740348398005</v>
      </c>
      <c r="BG12" s="90"/>
      <c r="BH12" s="89"/>
      <c r="BI12" s="50"/>
      <c r="BJ12" s="50"/>
      <c r="BK12" s="51"/>
      <c r="BL12" s="51"/>
      <c r="BM12" s="50"/>
      <c r="BN12" s="51"/>
      <c r="BO12" s="51"/>
      <c r="BP12" s="51"/>
      <c r="BQ12" s="51"/>
      <c r="BR12" s="50"/>
      <c r="BS12" s="54"/>
      <c r="BT12" s="54"/>
      <c r="BU12" s="54"/>
      <c r="BV12" s="43"/>
      <c r="BW12" s="56"/>
      <c r="BX12" s="43"/>
      <c r="BY12" s="43"/>
      <c r="BZ12" s="43"/>
      <c r="CA12" s="43"/>
      <c r="CB12" s="43"/>
      <c r="CC12" s="4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</row>
    <row r="13" spans="1:203" ht="12.75">
      <c r="A13" s="64"/>
      <c r="B13" s="64"/>
      <c r="C13" s="64"/>
      <c r="D13" s="64"/>
      <c r="E13" s="64"/>
      <c r="F13" s="64">
        <f t="shared" si="48"/>
        <v>8</v>
      </c>
      <c r="G13" s="64">
        <f t="shared" si="38"/>
        <v>0.32</v>
      </c>
      <c r="H13" s="75">
        <v>1</v>
      </c>
      <c r="I13" s="64">
        <f t="shared" si="0"/>
        <v>-12</v>
      </c>
      <c r="J13" s="64">
        <f t="shared" si="1"/>
        <v>34.1824</v>
      </c>
      <c r="K13" s="64">
        <f t="shared" si="39"/>
        <v>2.696367927416434</v>
      </c>
      <c r="L13" s="64">
        <f t="shared" si="2"/>
        <v>7.348183963708217</v>
      </c>
      <c r="M13" s="64">
        <f t="shared" si="40"/>
        <v>0.32</v>
      </c>
      <c r="N13" s="64">
        <f t="shared" si="3"/>
        <v>0.4660875979788317</v>
      </c>
      <c r="O13" s="64">
        <f t="shared" si="4"/>
        <v>0.2908276795357321</v>
      </c>
      <c r="P13" s="64">
        <f t="shared" si="5"/>
        <v>1.92</v>
      </c>
      <c r="Q13" s="64">
        <f t="shared" si="6"/>
        <v>0</v>
      </c>
      <c r="R13" s="64">
        <f t="shared" si="7"/>
        <v>0</v>
      </c>
      <c r="S13" s="93">
        <f t="shared" si="41"/>
        <v>2.210827679535732</v>
      </c>
      <c r="T13" s="94">
        <f t="shared" si="49"/>
        <v>0.32</v>
      </c>
      <c r="U13" s="95">
        <f t="shared" si="42"/>
        <v>2.210827679535732</v>
      </c>
      <c r="V13" s="64"/>
      <c r="W13" s="75">
        <f t="shared" si="43"/>
        <v>1.5999999999999999</v>
      </c>
      <c r="X13" s="86">
        <f t="shared" si="44"/>
        <v>-0.023972027972027802</v>
      </c>
      <c r="Y13" s="64">
        <f t="shared" si="8"/>
        <v>1.0000591715976332</v>
      </c>
      <c r="Z13" s="64">
        <f t="shared" si="9"/>
        <v>-12.046522646584185</v>
      </c>
      <c r="AA13" s="64">
        <f t="shared" si="10"/>
        <v>36.144406825957255</v>
      </c>
      <c r="AB13" s="64">
        <f t="shared" si="45"/>
        <v>0.7297435725287549</v>
      </c>
      <c r="AC13" s="64">
        <f t="shared" si="46"/>
        <v>6.3877551358797895</v>
      </c>
      <c r="AD13" s="64">
        <f t="shared" si="11"/>
        <v>0.0251645499962781</v>
      </c>
      <c r="AE13" s="64">
        <f t="shared" si="12"/>
        <v>0.1296143246020025</v>
      </c>
      <c r="AF13" s="86">
        <f t="shared" si="13"/>
        <v>0.022181818181818188</v>
      </c>
      <c r="AG13" s="64">
        <f t="shared" si="14"/>
        <v>0.5832644607090113</v>
      </c>
      <c r="AH13" s="64">
        <f t="shared" si="15"/>
        <v>0.5773321468581084</v>
      </c>
      <c r="AI13" s="87">
        <f t="shared" si="16"/>
        <v>0.0059323138509028706</v>
      </c>
      <c r="AJ13" s="87">
        <f t="shared" si="17"/>
        <v>0</v>
      </c>
      <c r="AK13" s="88">
        <f t="shared" si="18"/>
        <v>263.11636363636455</v>
      </c>
      <c r="AL13" s="89">
        <f t="shared" si="19"/>
        <v>0</v>
      </c>
      <c r="AM13" s="90">
        <f t="shared" si="20"/>
        <v>257.11636363636455</v>
      </c>
      <c r="AN13" s="89">
        <f t="shared" si="21"/>
        <v>0</v>
      </c>
      <c r="AO13" s="89">
        <f t="shared" si="22"/>
        <v>0.03198214876033071</v>
      </c>
      <c r="AP13" s="91">
        <f t="shared" si="23"/>
        <v>0</v>
      </c>
      <c r="AQ13" s="89">
        <f t="shared" si="24"/>
        <v>0</v>
      </c>
      <c r="AR13" s="90">
        <f t="shared" si="25"/>
        <v>2.9986416696144325</v>
      </c>
      <c r="AS13" s="89">
        <f t="shared" si="26"/>
        <v>0</v>
      </c>
      <c r="AT13" s="90">
        <f t="shared" si="27"/>
        <v>2.9986416696144325</v>
      </c>
      <c r="AU13" s="89">
        <f t="shared" si="28"/>
        <v>0</v>
      </c>
      <c r="AV13" s="89">
        <f t="shared" si="29"/>
        <v>0</v>
      </c>
      <c r="AW13" s="89">
        <f t="shared" si="30"/>
        <v>0</v>
      </c>
      <c r="AX13" s="89">
        <f t="shared" si="31"/>
        <v>0</v>
      </c>
      <c r="AY13" s="89">
        <f t="shared" si="32"/>
        <v>0</v>
      </c>
      <c r="AZ13" s="90" t="b">
        <f t="shared" si="33"/>
        <v>0</v>
      </c>
      <c r="BA13" s="90" t="b">
        <f t="shared" si="34"/>
        <v>0</v>
      </c>
      <c r="BB13" s="64" t="b">
        <f t="shared" si="35"/>
        <v>0</v>
      </c>
      <c r="BC13" s="92">
        <f t="shared" si="36"/>
        <v>0</v>
      </c>
      <c r="BD13" s="90">
        <f t="shared" si="37"/>
        <v>0.03791446261123358</v>
      </c>
      <c r="BE13" s="89"/>
      <c r="BF13" s="90">
        <f t="shared" si="47"/>
        <v>0.03791446261123358</v>
      </c>
      <c r="BG13" s="90"/>
      <c r="BH13" s="89"/>
      <c r="BI13" s="50"/>
      <c r="BJ13" s="50"/>
      <c r="BK13" s="51"/>
      <c r="BL13" s="51"/>
      <c r="BM13" s="50"/>
      <c r="BN13" s="51"/>
      <c r="BO13" s="51"/>
      <c r="BP13" s="51"/>
      <c r="BQ13" s="51"/>
      <c r="BR13" s="50"/>
      <c r="BS13" s="54"/>
      <c r="BT13" s="54"/>
      <c r="BU13" s="54"/>
      <c r="BV13" s="43"/>
      <c r="BW13" s="56"/>
      <c r="BX13" s="43"/>
      <c r="BY13" s="43"/>
      <c r="BZ13" s="43"/>
      <c r="CA13" s="43"/>
      <c r="CB13" s="43"/>
      <c r="CC13" s="4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</row>
    <row r="14" spans="1:203" ht="12.75">
      <c r="A14" s="64"/>
      <c r="B14" s="64"/>
      <c r="C14" s="64"/>
      <c r="D14" s="64"/>
      <c r="E14" s="64"/>
      <c r="F14" s="64">
        <f t="shared" si="48"/>
        <v>9</v>
      </c>
      <c r="G14" s="64">
        <f t="shared" si="38"/>
        <v>0.36</v>
      </c>
      <c r="H14" s="75">
        <v>1</v>
      </c>
      <c r="I14" s="64">
        <f t="shared" si="0"/>
        <v>-12</v>
      </c>
      <c r="J14" s="64">
        <f t="shared" si="1"/>
        <v>33.9696</v>
      </c>
      <c r="K14" s="64">
        <f t="shared" si="39"/>
        <v>2.8498421008891004</v>
      </c>
      <c r="L14" s="64">
        <f t="shared" si="2"/>
        <v>7.42492105044455</v>
      </c>
      <c r="M14" s="64">
        <f t="shared" si="40"/>
        <v>0.36</v>
      </c>
      <c r="N14" s="64">
        <f t="shared" si="3"/>
        <v>0.4949341263408953</v>
      </c>
      <c r="O14" s="64">
        <f t="shared" si="4"/>
        <v>0.34630778194722356</v>
      </c>
      <c r="P14" s="64">
        <f t="shared" si="5"/>
        <v>2.16</v>
      </c>
      <c r="Q14" s="64">
        <f t="shared" si="6"/>
        <v>0</v>
      </c>
      <c r="R14" s="64">
        <f t="shared" si="7"/>
        <v>0</v>
      </c>
      <c r="S14" s="93">
        <f t="shared" si="41"/>
        <v>2.506307781947224</v>
      </c>
      <c r="T14" s="94">
        <f t="shared" si="49"/>
        <v>0.36</v>
      </c>
      <c r="U14" s="95">
        <f t="shared" si="42"/>
        <v>2.506307781947224</v>
      </c>
      <c r="V14" s="64"/>
      <c r="W14" s="75">
        <f t="shared" si="43"/>
        <v>1.7999999999999998</v>
      </c>
      <c r="X14" s="86">
        <f t="shared" si="44"/>
        <v>-0.02369930069930053</v>
      </c>
      <c r="Y14" s="64">
        <f t="shared" si="8"/>
        <v>1.0000591715976332</v>
      </c>
      <c r="Z14" s="64">
        <f t="shared" si="9"/>
        <v>-12.046518450779988</v>
      </c>
      <c r="AA14" s="64">
        <f t="shared" si="10"/>
        <v>36.142757461049435</v>
      </c>
      <c r="AB14" s="64">
        <f t="shared" si="45"/>
        <v>0.734181477550053</v>
      </c>
      <c r="AC14" s="64">
        <f t="shared" si="46"/>
        <v>6.389971859321273</v>
      </c>
      <c r="AD14" s="64">
        <f t="shared" si="11"/>
        <v>0.025454328987786008</v>
      </c>
      <c r="AE14" s="64">
        <f t="shared" si="12"/>
        <v>0.1303595192008431</v>
      </c>
      <c r="AF14" s="86">
        <f t="shared" si="13"/>
        <v>0.02245454545454546</v>
      </c>
      <c r="AG14" s="64">
        <f t="shared" si="14"/>
        <v>0.586617836403794</v>
      </c>
      <c r="AH14" s="64">
        <f t="shared" si="15"/>
        <v>0.5805794685613478</v>
      </c>
      <c r="AI14" s="87">
        <f t="shared" si="16"/>
        <v>0.006038367842446157</v>
      </c>
      <c r="AJ14" s="87">
        <f t="shared" si="17"/>
        <v>0</v>
      </c>
      <c r="AK14" s="88">
        <f t="shared" si="18"/>
        <v>263.08090909091004</v>
      </c>
      <c r="AL14" s="89">
        <f t="shared" si="19"/>
        <v>0</v>
      </c>
      <c r="AM14" s="90">
        <f t="shared" si="20"/>
        <v>257.08090909091</v>
      </c>
      <c r="AN14" s="89">
        <f t="shared" si="21"/>
        <v>0</v>
      </c>
      <c r="AO14" s="89">
        <f t="shared" si="22"/>
        <v>0.03277342975206625</v>
      </c>
      <c r="AP14" s="91">
        <f t="shared" si="23"/>
        <v>0</v>
      </c>
      <c r="AQ14" s="89">
        <f t="shared" si="24"/>
        <v>0</v>
      </c>
      <c r="AR14" s="90">
        <f t="shared" si="25"/>
        <v>2.999055535903785</v>
      </c>
      <c r="AS14" s="89">
        <f t="shared" si="26"/>
        <v>0</v>
      </c>
      <c r="AT14" s="90">
        <f t="shared" si="27"/>
        <v>2.999055535903785</v>
      </c>
      <c r="AU14" s="89">
        <f t="shared" si="28"/>
        <v>0</v>
      </c>
      <c r="AV14" s="89">
        <f t="shared" si="29"/>
        <v>0</v>
      </c>
      <c r="AW14" s="89">
        <f t="shared" si="30"/>
        <v>0</v>
      </c>
      <c r="AX14" s="89">
        <f t="shared" si="31"/>
        <v>0</v>
      </c>
      <c r="AY14" s="89">
        <f t="shared" si="32"/>
        <v>0</v>
      </c>
      <c r="AZ14" s="90" t="b">
        <f t="shared" si="33"/>
        <v>0</v>
      </c>
      <c r="BA14" s="90" t="b">
        <f t="shared" si="34"/>
        <v>0</v>
      </c>
      <c r="BB14" s="64" t="b">
        <f t="shared" si="35"/>
        <v>0</v>
      </c>
      <c r="BC14" s="92">
        <f t="shared" si="36"/>
        <v>0</v>
      </c>
      <c r="BD14" s="90">
        <f t="shared" si="37"/>
        <v>0.03881179759451241</v>
      </c>
      <c r="BE14" s="89"/>
      <c r="BF14" s="90">
        <f t="shared" si="47"/>
        <v>0.03881179759451241</v>
      </c>
      <c r="BG14" s="90"/>
      <c r="BH14" s="89"/>
      <c r="BI14" s="50"/>
      <c r="BJ14" s="50"/>
      <c r="BK14" s="51"/>
      <c r="BL14" s="51"/>
      <c r="BM14" s="50"/>
      <c r="BN14" s="51"/>
      <c r="BO14" s="51"/>
      <c r="BP14" s="51"/>
      <c r="BQ14" s="51"/>
      <c r="BR14" s="50"/>
      <c r="BS14" s="54"/>
      <c r="BT14" s="54"/>
      <c r="BU14" s="54"/>
      <c r="BV14" s="43"/>
      <c r="BW14" s="56"/>
      <c r="BX14" s="43"/>
      <c r="BY14" s="43"/>
      <c r="BZ14" s="43"/>
      <c r="CA14" s="43"/>
      <c r="CB14" s="43"/>
      <c r="CC14" s="4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</row>
    <row r="15" spans="1:203" ht="12.75">
      <c r="A15" s="64"/>
      <c r="B15" s="64"/>
      <c r="C15" s="64"/>
      <c r="D15" s="64"/>
      <c r="E15" s="64"/>
      <c r="F15" s="64">
        <f t="shared" si="48"/>
        <v>10</v>
      </c>
      <c r="G15" s="64">
        <f t="shared" si="38"/>
        <v>0.4</v>
      </c>
      <c r="H15" s="75">
        <v>1</v>
      </c>
      <c r="I15" s="64">
        <f t="shared" si="0"/>
        <v>-12</v>
      </c>
      <c r="J15" s="64">
        <f t="shared" si="1"/>
        <v>33.76</v>
      </c>
      <c r="K15" s="64">
        <f t="shared" si="39"/>
        <v>2.993325909419154</v>
      </c>
      <c r="L15" s="64">
        <f t="shared" si="2"/>
        <v>7.496662954709577</v>
      </c>
      <c r="M15" s="64">
        <f t="shared" si="40"/>
        <v>0.4</v>
      </c>
      <c r="N15" s="64">
        <f t="shared" si="3"/>
        <v>0.5223148218060485</v>
      </c>
      <c r="O15" s="64">
        <f t="shared" si="4"/>
        <v>0.4047548570047692</v>
      </c>
      <c r="P15" s="64">
        <f t="shared" si="5"/>
        <v>2.4000000000000004</v>
      </c>
      <c r="Q15" s="64">
        <f t="shared" si="6"/>
        <v>0</v>
      </c>
      <c r="R15" s="64">
        <f t="shared" si="7"/>
        <v>0</v>
      </c>
      <c r="S15" s="93">
        <f t="shared" si="41"/>
        <v>2.8047548570047693</v>
      </c>
      <c r="T15" s="94">
        <f t="shared" si="49"/>
        <v>0.4</v>
      </c>
      <c r="U15" s="95">
        <f t="shared" si="42"/>
        <v>2.8047548570047693</v>
      </c>
      <c r="V15" s="64"/>
      <c r="W15" s="75">
        <f t="shared" si="43"/>
        <v>1.9999999999999998</v>
      </c>
      <c r="X15" s="86">
        <f t="shared" si="44"/>
        <v>-0.023426573426573255</v>
      </c>
      <c r="Y15" s="64">
        <f t="shared" si="8"/>
        <v>1.0000591715976332</v>
      </c>
      <c r="Z15" s="64">
        <f t="shared" si="9"/>
        <v>-12.046514254975794</v>
      </c>
      <c r="AA15" s="64">
        <f t="shared" si="10"/>
        <v>36.14110824490195</v>
      </c>
      <c r="AB15" s="64">
        <f t="shared" si="45"/>
        <v>0.738592314654602</v>
      </c>
      <c r="AC15" s="64">
        <f t="shared" si="46"/>
        <v>6.392175049605161</v>
      </c>
      <c r="AD15" s="64">
        <f t="shared" si="11"/>
        <v>0.02574400387808165</v>
      </c>
      <c r="AE15" s="64">
        <f t="shared" si="12"/>
        <v>0.13110023651045655</v>
      </c>
      <c r="AF15" s="86">
        <f t="shared" si="13"/>
        <v>0.022727272727272735</v>
      </c>
      <c r="AG15" s="64">
        <f t="shared" si="14"/>
        <v>0.5899510642970545</v>
      </c>
      <c r="AH15" s="64">
        <f t="shared" si="15"/>
        <v>0.583806039753137</v>
      </c>
      <c r="AI15" s="87">
        <f t="shared" si="16"/>
        <v>0.00614502454391741</v>
      </c>
      <c r="AJ15" s="87">
        <f t="shared" si="17"/>
        <v>0</v>
      </c>
      <c r="AK15" s="88">
        <f t="shared" si="18"/>
        <v>263.0454545454554</v>
      </c>
      <c r="AL15" s="89">
        <f t="shared" si="19"/>
        <v>0</v>
      </c>
      <c r="AM15" s="90">
        <f t="shared" si="20"/>
        <v>257.04545454545547</v>
      </c>
      <c r="AN15" s="89">
        <f t="shared" si="21"/>
        <v>0</v>
      </c>
      <c r="AO15" s="89">
        <f t="shared" si="22"/>
        <v>0.033574380165289394</v>
      </c>
      <c r="AP15" s="91">
        <f t="shared" si="23"/>
        <v>0</v>
      </c>
      <c r="AQ15" s="89">
        <f t="shared" si="24"/>
        <v>0</v>
      </c>
      <c r="AR15" s="90">
        <f t="shared" si="25"/>
        <v>2.9994694021931383</v>
      </c>
      <c r="AS15" s="89">
        <f t="shared" si="26"/>
        <v>0</v>
      </c>
      <c r="AT15" s="90">
        <f t="shared" si="27"/>
        <v>2.999469402193138</v>
      </c>
      <c r="AU15" s="89">
        <f t="shared" si="28"/>
        <v>0</v>
      </c>
      <c r="AV15" s="89">
        <f t="shared" si="29"/>
        <v>0</v>
      </c>
      <c r="AW15" s="89">
        <f t="shared" si="30"/>
        <v>0</v>
      </c>
      <c r="AX15" s="89">
        <f t="shared" si="31"/>
        <v>0</v>
      </c>
      <c r="AY15" s="89">
        <f t="shared" si="32"/>
        <v>0</v>
      </c>
      <c r="AZ15" s="90" t="b">
        <f t="shared" si="33"/>
        <v>0</v>
      </c>
      <c r="BA15" s="90" t="b">
        <f t="shared" si="34"/>
        <v>0</v>
      </c>
      <c r="BB15" s="64" t="b">
        <f t="shared" si="35"/>
        <v>0</v>
      </c>
      <c r="BC15" s="92">
        <f t="shared" si="36"/>
        <v>0</v>
      </c>
      <c r="BD15" s="90">
        <f t="shared" si="37"/>
        <v>0.039719404709206804</v>
      </c>
      <c r="BE15" s="89"/>
      <c r="BF15" s="90">
        <f t="shared" si="47"/>
        <v>0.039719404709206804</v>
      </c>
      <c r="BG15" s="90"/>
      <c r="BH15" s="89"/>
      <c r="BI15" s="50"/>
      <c r="BJ15" s="50"/>
      <c r="BK15" s="51"/>
      <c r="BL15" s="51"/>
      <c r="BM15" s="50"/>
      <c r="BN15" s="51"/>
      <c r="BO15" s="51"/>
      <c r="BP15" s="51"/>
      <c r="BQ15" s="51"/>
      <c r="BR15" s="50"/>
      <c r="BS15" s="54"/>
      <c r="BT15" s="54"/>
      <c r="BU15" s="54"/>
      <c r="BV15" s="43"/>
      <c r="BW15" s="56"/>
      <c r="BX15" s="43"/>
      <c r="BY15" s="43"/>
      <c r="BZ15" s="43"/>
      <c r="CA15" s="43"/>
      <c r="CB15" s="43"/>
      <c r="CC15" s="4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</row>
    <row r="16" spans="1:203" ht="12.75">
      <c r="A16" s="64"/>
      <c r="B16" s="64"/>
      <c r="C16" s="64"/>
      <c r="D16" s="64"/>
      <c r="E16" s="64"/>
      <c r="F16" s="64">
        <f t="shared" si="48"/>
        <v>11</v>
      </c>
      <c r="G16" s="64">
        <f t="shared" si="38"/>
        <v>0.44</v>
      </c>
      <c r="H16" s="75">
        <v>1</v>
      </c>
      <c r="I16" s="64">
        <f t="shared" si="0"/>
        <v>-12</v>
      </c>
      <c r="J16" s="64">
        <f t="shared" si="1"/>
        <v>33.5536</v>
      </c>
      <c r="K16" s="64">
        <f t="shared" si="39"/>
        <v>3.1281943673627426</v>
      </c>
      <c r="L16" s="64">
        <f t="shared" si="2"/>
        <v>7.564097183681371</v>
      </c>
      <c r="M16" s="64">
        <f t="shared" si="40"/>
        <v>0.44</v>
      </c>
      <c r="N16" s="64">
        <f t="shared" si="3"/>
        <v>0.5484506320168108</v>
      </c>
      <c r="O16" s="64">
        <f t="shared" si="4"/>
        <v>0.4659834489634931</v>
      </c>
      <c r="P16" s="64">
        <f t="shared" si="5"/>
        <v>2.64</v>
      </c>
      <c r="Q16" s="64">
        <f t="shared" si="6"/>
        <v>0</v>
      </c>
      <c r="R16" s="64">
        <f t="shared" si="7"/>
        <v>0</v>
      </c>
      <c r="S16" s="93">
        <f t="shared" si="41"/>
        <v>3.105983448963493</v>
      </c>
      <c r="T16" s="94">
        <f t="shared" si="49"/>
        <v>0.44</v>
      </c>
      <c r="U16" s="95">
        <f t="shared" si="42"/>
        <v>3.105983448963493</v>
      </c>
      <c r="V16" s="64"/>
      <c r="W16" s="75">
        <f t="shared" si="43"/>
        <v>2.1999999999999997</v>
      </c>
      <c r="X16" s="86">
        <f t="shared" si="44"/>
        <v>-0.023153846153845983</v>
      </c>
      <c r="Y16" s="64">
        <f t="shared" si="8"/>
        <v>1.0000591715976332</v>
      </c>
      <c r="Z16" s="64">
        <f t="shared" si="9"/>
        <v>-12.046510059171597</v>
      </c>
      <c r="AA16" s="64">
        <f t="shared" si="10"/>
        <v>36.139459177514794</v>
      </c>
      <c r="AB16" s="64">
        <f t="shared" si="45"/>
        <v>0.7429765659257118</v>
      </c>
      <c r="AC16" s="64">
        <f t="shared" si="46"/>
        <v>6.394364947758846</v>
      </c>
      <c r="AD16" s="64">
        <f t="shared" si="11"/>
        <v>0.026033576521221888</v>
      </c>
      <c r="AE16" s="64">
        <f t="shared" si="12"/>
        <v>0.13183655667478988</v>
      </c>
      <c r="AF16" s="86">
        <f t="shared" si="13"/>
        <v>0.023000000000000007</v>
      </c>
      <c r="AG16" s="64">
        <f t="shared" si="14"/>
        <v>0.5932645050365545</v>
      </c>
      <c r="AH16" s="64">
        <f t="shared" si="15"/>
        <v>0.5870122247390422</v>
      </c>
      <c r="AI16" s="87">
        <f t="shared" si="16"/>
        <v>0.006252280297512236</v>
      </c>
      <c r="AJ16" s="87">
        <f t="shared" si="17"/>
        <v>0</v>
      </c>
      <c r="AK16" s="88">
        <f t="shared" si="18"/>
        <v>263.0100000000009</v>
      </c>
      <c r="AL16" s="89">
        <f t="shared" si="19"/>
        <v>0</v>
      </c>
      <c r="AM16" s="90">
        <f t="shared" si="20"/>
        <v>257.0100000000009</v>
      </c>
      <c r="AN16" s="89">
        <f t="shared" si="21"/>
        <v>0</v>
      </c>
      <c r="AO16" s="89">
        <f t="shared" si="22"/>
        <v>0.03438500000000014</v>
      </c>
      <c r="AP16" s="91">
        <f t="shared" si="23"/>
        <v>0</v>
      </c>
      <c r="AQ16" s="89">
        <f t="shared" si="24"/>
        <v>0</v>
      </c>
      <c r="AR16" s="90">
        <f t="shared" si="25"/>
        <v>2.999883268482491</v>
      </c>
      <c r="AS16" s="89">
        <f t="shared" si="26"/>
        <v>0</v>
      </c>
      <c r="AT16" s="90">
        <f t="shared" si="27"/>
        <v>2.9998832684824905</v>
      </c>
      <c r="AU16" s="89">
        <f t="shared" si="28"/>
        <v>0</v>
      </c>
      <c r="AV16" s="89">
        <f t="shared" si="29"/>
        <v>0</v>
      </c>
      <c r="AW16" s="89">
        <f t="shared" si="30"/>
        <v>0</v>
      </c>
      <c r="AX16" s="89">
        <f t="shared" si="31"/>
        <v>0</v>
      </c>
      <c r="AY16" s="89">
        <f t="shared" si="32"/>
        <v>0</v>
      </c>
      <c r="AZ16" s="90" t="b">
        <f t="shared" si="33"/>
        <v>0</v>
      </c>
      <c r="BA16" s="90" t="b">
        <f t="shared" si="34"/>
        <v>0</v>
      </c>
      <c r="BB16" s="64" t="b">
        <f t="shared" si="35"/>
        <v>0</v>
      </c>
      <c r="BC16" s="92">
        <f t="shared" si="36"/>
        <v>0</v>
      </c>
      <c r="BD16" s="90">
        <f t="shared" si="37"/>
        <v>0.040637280297512374</v>
      </c>
      <c r="BE16" s="89"/>
      <c r="BF16" s="90">
        <f t="shared" si="47"/>
        <v>0.040637280297512374</v>
      </c>
      <c r="BG16" s="90"/>
      <c r="BH16" s="89"/>
      <c r="BI16" s="50"/>
      <c r="BJ16" s="50"/>
      <c r="BK16" s="51"/>
      <c r="BL16" s="51"/>
      <c r="BM16" s="50"/>
      <c r="BN16" s="51"/>
      <c r="BO16" s="51"/>
      <c r="BP16" s="51"/>
      <c r="BQ16" s="51"/>
      <c r="BR16" s="50"/>
      <c r="BS16" s="54"/>
      <c r="BT16" s="54"/>
      <c r="BU16" s="54"/>
      <c r="BV16" s="43"/>
      <c r="BW16" s="56"/>
      <c r="BX16" s="43"/>
      <c r="BY16" s="43"/>
      <c r="BZ16" s="43"/>
      <c r="CA16" s="43"/>
      <c r="CB16" s="43"/>
      <c r="CC16" s="4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</row>
    <row r="17" spans="1:203" ht="12.75">
      <c r="A17" s="64"/>
      <c r="B17" s="64"/>
      <c r="C17" s="64"/>
      <c r="D17" s="64"/>
      <c r="E17" s="64"/>
      <c r="F17" s="64">
        <f t="shared" si="48"/>
        <v>12</v>
      </c>
      <c r="G17" s="64">
        <f t="shared" si="38"/>
        <v>0.48</v>
      </c>
      <c r="H17" s="75">
        <v>1</v>
      </c>
      <c r="I17" s="64">
        <f t="shared" si="0"/>
        <v>-12</v>
      </c>
      <c r="J17" s="64">
        <f t="shared" si="1"/>
        <v>33.3504</v>
      </c>
      <c r="K17" s="64">
        <f t="shared" si="39"/>
        <v>3.2555183919001283</v>
      </c>
      <c r="L17" s="64">
        <f t="shared" si="2"/>
        <v>7.627759195950064</v>
      </c>
      <c r="M17" s="64">
        <f t="shared" si="40"/>
        <v>0.48</v>
      </c>
      <c r="N17" s="64">
        <f t="shared" si="3"/>
        <v>0.5735131044230967</v>
      </c>
      <c r="O17" s="64">
        <f t="shared" si="4"/>
        <v>0.5298323830068545</v>
      </c>
      <c r="P17" s="64">
        <f t="shared" si="5"/>
        <v>2.88</v>
      </c>
      <c r="Q17" s="64">
        <f t="shared" si="6"/>
        <v>0</v>
      </c>
      <c r="R17" s="64">
        <f t="shared" si="7"/>
        <v>0</v>
      </c>
      <c r="S17" s="93">
        <f t="shared" si="41"/>
        <v>3.4098323830068544</v>
      </c>
      <c r="T17" s="94">
        <f t="shared" si="49"/>
        <v>0.48</v>
      </c>
      <c r="U17" s="95">
        <f t="shared" si="42"/>
        <v>3.4098323830068544</v>
      </c>
      <c r="V17" s="64"/>
      <c r="W17" s="75">
        <f t="shared" si="43"/>
        <v>2.4</v>
      </c>
      <c r="X17" s="86">
        <f t="shared" si="44"/>
        <v>-0.022881118881118708</v>
      </c>
      <c r="Y17" s="64">
        <f t="shared" si="8"/>
        <v>1.0000591715976332</v>
      </c>
      <c r="Z17" s="64">
        <f t="shared" si="9"/>
        <v>-12.046505863367402</v>
      </c>
      <c r="AA17" s="64">
        <f t="shared" si="10"/>
        <v>36.13781025888797</v>
      </c>
      <c r="AB17" s="64">
        <f t="shared" si="45"/>
        <v>0.7473346992622509</v>
      </c>
      <c r="AC17" s="64">
        <f t="shared" si="46"/>
        <v>6.396541787717919</v>
      </c>
      <c r="AD17" s="64">
        <f t="shared" si="11"/>
        <v>0.026323048716711265</v>
      </c>
      <c r="AE17" s="64">
        <f t="shared" si="12"/>
        <v>0.13256855747736096</v>
      </c>
      <c r="AF17" s="86">
        <f t="shared" si="13"/>
        <v>0.02327272727272728</v>
      </c>
      <c r="AG17" s="64">
        <f t="shared" si="14"/>
        <v>0.5965585086481243</v>
      </c>
      <c r="AH17" s="64">
        <f t="shared" si="15"/>
        <v>0.5901983771379796</v>
      </c>
      <c r="AI17" s="87">
        <f t="shared" si="16"/>
        <v>0.006360131510144695</v>
      </c>
      <c r="AJ17" s="87">
        <f t="shared" si="17"/>
        <v>0</v>
      </c>
      <c r="AK17" s="88">
        <f t="shared" si="18"/>
        <v>262.9745454545464</v>
      </c>
      <c r="AL17" s="89">
        <f t="shared" si="19"/>
        <v>0</v>
      </c>
      <c r="AM17" s="90">
        <f t="shared" si="20"/>
        <v>256.9745454545464</v>
      </c>
      <c r="AN17" s="89">
        <f t="shared" si="21"/>
        <v>0</v>
      </c>
      <c r="AO17" s="89">
        <f t="shared" si="22"/>
        <v>0.0352052892561985</v>
      </c>
      <c r="AP17" s="91">
        <f t="shared" si="23"/>
        <v>0</v>
      </c>
      <c r="AQ17" s="89">
        <f t="shared" si="24"/>
        <v>0</v>
      </c>
      <c r="AR17" s="90">
        <f t="shared" si="25"/>
        <v>3.0002971347718432</v>
      </c>
      <c r="AS17" s="89">
        <f t="shared" si="26"/>
        <v>0</v>
      </c>
      <c r="AT17" s="90">
        <f t="shared" si="27"/>
        <v>3.0002971347718432</v>
      </c>
      <c r="AU17" s="89">
        <f t="shared" si="28"/>
        <v>0</v>
      </c>
      <c r="AV17" s="89">
        <f t="shared" si="29"/>
        <v>0</v>
      </c>
      <c r="AW17" s="89">
        <f t="shared" si="30"/>
        <v>0</v>
      </c>
      <c r="AX17" s="89">
        <f t="shared" si="31"/>
        <v>0</v>
      </c>
      <c r="AY17" s="89">
        <f t="shared" si="32"/>
        <v>0</v>
      </c>
      <c r="AZ17" s="90" t="b">
        <f t="shared" si="33"/>
        <v>0</v>
      </c>
      <c r="BA17" s="90" t="b">
        <f t="shared" si="34"/>
        <v>0</v>
      </c>
      <c r="BB17" s="64" t="b">
        <f t="shared" si="35"/>
        <v>0</v>
      </c>
      <c r="BC17" s="92">
        <f t="shared" si="36"/>
        <v>0</v>
      </c>
      <c r="BD17" s="90">
        <f t="shared" si="37"/>
        <v>0.041565420766343196</v>
      </c>
      <c r="BE17" s="89"/>
      <c r="BF17" s="90">
        <f t="shared" si="47"/>
        <v>0.041565420766343196</v>
      </c>
      <c r="BG17" s="90"/>
      <c r="BH17" s="89"/>
      <c r="BI17" s="50"/>
      <c r="BJ17" s="50"/>
      <c r="BK17" s="51"/>
      <c r="BL17" s="51"/>
      <c r="BM17" s="50"/>
      <c r="BN17" s="51"/>
      <c r="BO17" s="51"/>
      <c r="BP17" s="51"/>
      <c r="BQ17" s="51"/>
      <c r="BR17" s="50"/>
      <c r="BS17" s="54"/>
      <c r="BT17" s="54"/>
      <c r="BU17" s="54"/>
      <c r="BV17" s="43"/>
      <c r="BW17" s="56"/>
      <c r="BX17" s="43"/>
      <c r="BY17" s="43"/>
      <c r="BZ17" s="43"/>
      <c r="CA17" s="43"/>
      <c r="CB17" s="43"/>
      <c r="CC17" s="4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</row>
    <row r="18" spans="1:203" ht="12.75">
      <c r="A18" s="64"/>
      <c r="B18" s="64"/>
      <c r="C18" s="64"/>
      <c r="D18" s="64"/>
      <c r="E18" s="64"/>
      <c r="F18" s="64">
        <f t="shared" si="48"/>
        <v>13</v>
      </c>
      <c r="G18" s="64">
        <f t="shared" si="38"/>
        <v>0.52</v>
      </c>
      <c r="H18" s="75">
        <v>1</v>
      </c>
      <c r="I18" s="64">
        <f t="shared" si="0"/>
        <v>-12</v>
      </c>
      <c r="J18" s="64">
        <f t="shared" si="1"/>
        <v>33.150400000000005</v>
      </c>
      <c r="K18" s="64">
        <f t="shared" si="39"/>
        <v>3.376151655361468</v>
      </c>
      <c r="L18" s="64">
        <f t="shared" si="2"/>
        <v>7.688075827680734</v>
      </c>
      <c r="M18" s="64">
        <f t="shared" si="40"/>
        <v>0.52</v>
      </c>
      <c r="N18" s="64">
        <f t="shared" si="3"/>
        <v>0.597638586883139</v>
      </c>
      <c r="O18" s="64">
        <f t="shared" si="4"/>
        <v>0.5961596146500141</v>
      </c>
      <c r="P18" s="64">
        <f t="shared" si="5"/>
        <v>3.12</v>
      </c>
      <c r="Q18" s="64">
        <f t="shared" si="6"/>
        <v>0</v>
      </c>
      <c r="R18" s="64">
        <f t="shared" si="7"/>
        <v>0</v>
      </c>
      <c r="S18" s="93">
        <f t="shared" si="41"/>
        <v>3.716159614650014</v>
      </c>
      <c r="T18" s="94">
        <f t="shared" si="49"/>
        <v>0.52</v>
      </c>
      <c r="U18" s="95">
        <f t="shared" si="42"/>
        <v>3.716159614650014</v>
      </c>
      <c r="V18" s="64"/>
      <c r="W18" s="75">
        <f t="shared" si="43"/>
        <v>2.6</v>
      </c>
      <c r="X18" s="86">
        <f t="shared" si="44"/>
        <v>-0.022608391608391436</v>
      </c>
      <c r="Y18" s="64">
        <f t="shared" si="8"/>
        <v>1.0000591715976332</v>
      </c>
      <c r="Z18" s="64">
        <f t="shared" si="9"/>
        <v>-12.046501667563206</v>
      </c>
      <c r="AA18" s="64">
        <f t="shared" si="10"/>
        <v>36.13616148902147</v>
      </c>
      <c r="AB18" s="64">
        <f t="shared" si="45"/>
        <v>0.7516671689562233</v>
      </c>
      <c r="AC18" s="64">
        <f t="shared" si="46"/>
        <v>6.398705796614943</v>
      </c>
      <c r="AD18" s="64">
        <f t="shared" si="11"/>
        <v>0.02661242221172334</v>
      </c>
      <c r="AE18" s="64">
        <f t="shared" si="12"/>
        <v>0.13329631443743528</v>
      </c>
      <c r="AF18" s="86">
        <f t="shared" si="13"/>
        <v>0.023545454545454553</v>
      </c>
      <c r="AG18" s="64">
        <f t="shared" si="14"/>
        <v>0.5998334149684588</v>
      </c>
      <c r="AH18" s="64">
        <f t="shared" si="15"/>
        <v>0.5933648403168119</v>
      </c>
      <c r="AI18" s="87">
        <f t="shared" si="16"/>
        <v>0.006468574651646852</v>
      </c>
      <c r="AJ18" s="87">
        <f t="shared" si="17"/>
        <v>0</v>
      </c>
      <c r="AK18" s="88">
        <f t="shared" si="18"/>
        <v>262.9390909090918</v>
      </c>
      <c r="AL18" s="89">
        <f t="shared" si="19"/>
        <v>0</v>
      </c>
      <c r="AM18" s="90">
        <f t="shared" si="20"/>
        <v>256.9390909090918</v>
      </c>
      <c r="AN18" s="89">
        <f t="shared" si="21"/>
        <v>0</v>
      </c>
      <c r="AO18" s="89">
        <f t="shared" si="22"/>
        <v>0.03603524793388445</v>
      </c>
      <c r="AP18" s="91">
        <f t="shared" si="23"/>
        <v>0</v>
      </c>
      <c r="AQ18" s="89">
        <f t="shared" si="24"/>
        <v>0</v>
      </c>
      <c r="AR18" s="90">
        <f t="shared" si="25"/>
        <v>3.000711001061196</v>
      </c>
      <c r="AS18" s="89">
        <f t="shared" si="26"/>
        <v>0</v>
      </c>
      <c r="AT18" s="90">
        <f t="shared" si="27"/>
        <v>3.000711001061196</v>
      </c>
      <c r="AU18" s="89">
        <f t="shared" si="28"/>
        <v>0</v>
      </c>
      <c r="AV18" s="89">
        <f t="shared" si="29"/>
        <v>0</v>
      </c>
      <c r="AW18" s="89">
        <f t="shared" si="30"/>
        <v>0</v>
      </c>
      <c r="AX18" s="89">
        <f t="shared" si="31"/>
        <v>0</v>
      </c>
      <c r="AY18" s="89">
        <f t="shared" si="32"/>
        <v>0</v>
      </c>
      <c r="AZ18" s="90" t="b">
        <f t="shared" si="33"/>
        <v>0</v>
      </c>
      <c r="BA18" s="90" t="b">
        <f t="shared" si="34"/>
        <v>0</v>
      </c>
      <c r="BB18" s="64" t="b">
        <f t="shared" si="35"/>
        <v>0</v>
      </c>
      <c r="BC18" s="92">
        <f t="shared" si="36"/>
        <v>0</v>
      </c>
      <c r="BD18" s="90">
        <f t="shared" si="37"/>
        <v>0.0425038225855313</v>
      </c>
      <c r="BE18" s="89"/>
      <c r="BF18" s="90">
        <f t="shared" si="47"/>
        <v>0.0425038225855313</v>
      </c>
      <c r="BG18" s="90"/>
      <c r="BH18" s="89"/>
      <c r="BI18" s="50"/>
      <c r="BJ18" s="50"/>
      <c r="BK18" s="51"/>
      <c r="BL18" s="51"/>
      <c r="BM18" s="50"/>
      <c r="BN18" s="51"/>
      <c r="BO18" s="51"/>
      <c r="BP18" s="51"/>
      <c r="BQ18" s="51"/>
      <c r="BR18" s="50"/>
      <c r="BS18" s="54"/>
      <c r="BT18" s="54"/>
      <c r="BU18" s="54"/>
      <c r="BV18" s="43"/>
      <c r="BW18" s="56"/>
      <c r="BX18" s="43"/>
      <c r="BY18" s="43"/>
      <c r="BZ18" s="43"/>
      <c r="CA18" s="43"/>
      <c r="CB18" s="43"/>
      <c r="CC18" s="4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</row>
    <row r="19" spans="1:203" ht="12.75">
      <c r="A19" s="64"/>
      <c r="B19" s="64"/>
      <c r="C19" s="64"/>
      <c r="D19" s="64"/>
      <c r="E19" s="64"/>
      <c r="F19" s="64">
        <f t="shared" si="48"/>
        <v>14</v>
      </c>
      <c r="G19" s="64">
        <f t="shared" si="38"/>
        <v>0.56</v>
      </c>
      <c r="H19" s="75">
        <v>1</v>
      </c>
      <c r="I19" s="64">
        <f t="shared" si="0"/>
        <v>-12</v>
      </c>
      <c r="J19" s="64">
        <f t="shared" si="1"/>
        <v>32.9536</v>
      </c>
      <c r="K19" s="64">
        <f t="shared" si="39"/>
        <v>3.4907878766834277</v>
      </c>
      <c r="L19" s="64">
        <f t="shared" si="2"/>
        <v>7.745393938341714</v>
      </c>
      <c r="M19" s="64">
        <f t="shared" si="40"/>
        <v>0.56</v>
      </c>
      <c r="N19" s="64">
        <f t="shared" si="3"/>
        <v>0.6209375778355872</v>
      </c>
      <c r="O19" s="64">
        <f t="shared" si="4"/>
        <v>0.6648384954832514</v>
      </c>
      <c r="P19" s="64">
        <f t="shared" si="5"/>
        <v>3.3600000000000003</v>
      </c>
      <c r="Q19" s="64">
        <f t="shared" si="6"/>
        <v>0</v>
      </c>
      <c r="R19" s="64">
        <f t="shared" si="7"/>
        <v>0</v>
      </c>
      <c r="S19" s="93">
        <f t="shared" si="41"/>
        <v>4.024838495483252</v>
      </c>
      <c r="T19" s="94">
        <f t="shared" si="49"/>
        <v>0.56</v>
      </c>
      <c r="U19" s="95">
        <f t="shared" si="42"/>
        <v>4.024838495483252</v>
      </c>
      <c r="V19" s="64"/>
      <c r="W19" s="75">
        <f t="shared" si="43"/>
        <v>2.8000000000000003</v>
      </c>
      <c r="X19" s="86">
        <f t="shared" si="44"/>
        <v>-0.02233566433566416</v>
      </c>
      <c r="Y19" s="64">
        <f t="shared" si="8"/>
        <v>1.0000591715976332</v>
      </c>
      <c r="Z19" s="64">
        <f t="shared" si="9"/>
        <v>-12.04649747175901</v>
      </c>
      <c r="AA19" s="64">
        <f t="shared" si="10"/>
        <v>36.1345128679153</v>
      </c>
      <c r="AB19" s="64">
        <f t="shared" si="45"/>
        <v>0.7559744162407973</v>
      </c>
      <c r="AC19" s="64">
        <f t="shared" si="46"/>
        <v>6.400857195053449</v>
      </c>
      <c r="AD19" s="64">
        <f t="shared" si="11"/>
        <v>0.026901698703208347</v>
      </c>
      <c r="AE19" s="64">
        <f t="shared" si="12"/>
        <v>0.13401990090123506</v>
      </c>
      <c r="AF19" s="86">
        <f t="shared" si="13"/>
        <v>0.02381818181818183</v>
      </c>
      <c r="AG19" s="64">
        <f t="shared" si="14"/>
        <v>0.6030895540555578</v>
      </c>
      <c r="AH19" s="64">
        <f t="shared" si="15"/>
        <v>0.5965119478027191</v>
      </c>
      <c r="AI19" s="87">
        <f t="shared" si="16"/>
        <v>0.0065776062528386525</v>
      </c>
      <c r="AJ19" s="87">
        <f t="shared" si="17"/>
        <v>0</v>
      </c>
      <c r="AK19" s="88">
        <f t="shared" si="18"/>
        <v>262.9036363636373</v>
      </c>
      <c r="AL19" s="89">
        <f t="shared" si="19"/>
        <v>0</v>
      </c>
      <c r="AM19" s="90">
        <f t="shared" si="20"/>
        <v>256.9036363636373</v>
      </c>
      <c r="AN19" s="89">
        <f t="shared" si="21"/>
        <v>0</v>
      </c>
      <c r="AO19" s="89">
        <f t="shared" si="22"/>
        <v>0.036874876033058016</v>
      </c>
      <c r="AP19" s="91">
        <f t="shared" si="23"/>
        <v>0</v>
      </c>
      <c r="AQ19" s="89">
        <f t="shared" si="24"/>
        <v>0</v>
      </c>
      <c r="AR19" s="90">
        <f t="shared" si="25"/>
        <v>3.0011248673505486</v>
      </c>
      <c r="AS19" s="89">
        <f t="shared" si="26"/>
        <v>0</v>
      </c>
      <c r="AT19" s="90">
        <f t="shared" si="27"/>
        <v>3.0011248673505486</v>
      </c>
      <c r="AU19" s="89">
        <f t="shared" si="28"/>
        <v>0</v>
      </c>
      <c r="AV19" s="89">
        <f t="shared" si="29"/>
        <v>0</v>
      </c>
      <c r="AW19" s="89">
        <f t="shared" si="30"/>
        <v>0</v>
      </c>
      <c r="AX19" s="89">
        <f t="shared" si="31"/>
        <v>0</v>
      </c>
      <c r="AY19" s="89">
        <f t="shared" si="32"/>
        <v>0</v>
      </c>
      <c r="AZ19" s="90" t="b">
        <f t="shared" si="33"/>
        <v>0</v>
      </c>
      <c r="BA19" s="90" t="b">
        <f t="shared" si="34"/>
        <v>0</v>
      </c>
      <c r="BB19" s="64" t="b">
        <f t="shared" si="35"/>
        <v>0</v>
      </c>
      <c r="BC19" s="92">
        <f t="shared" si="36"/>
        <v>0</v>
      </c>
      <c r="BD19" s="90">
        <f t="shared" si="37"/>
        <v>0.04345248228589667</v>
      </c>
      <c r="BE19" s="89"/>
      <c r="BF19" s="90">
        <f t="shared" si="47"/>
        <v>0.04345248228589667</v>
      </c>
      <c r="BG19" s="90"/>
      <c r="BH19" s="89"/>
      <c r="BI19" s="50"/>
      <c r="BJ19" s="50"/>
      <c r="BK19" s="51"/>
      <c r="BL19" s="51"/>
      <c r="BM19" s="50"/>
      <c r="BN19" s="51"/>
      <c r="BO19" s="51"/>
      <c r="BP19" s="51"/>
      <c r="BQ19" s="51"/>
      <c r="BR19" s="50"/>
      <c r="BS19" s="54"/>
      <c r="BT19" s="54"/>
      <c r="BU19" s="54"/>
      <c r="BV19" s="43"/>
      <c r="BW19" s="56"/>
      <c r="BX19" s="43"/>
      <c r="BY19" s="43"/>
      <c r="BZ19" s="43"/>
      <c r="CA19" s="43"/>
      <c r="CB19" s="43"/>
      <c r="CC19" s="4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</row>
    <row r="20" spans="1:203" ht="12.75">
      <c r="A20" s="64"/>
      <c r="B20" s="64"/>
      <c r="C20" s="64"/>
      <c r="D20" s="64"/>
      <c r="E20" s="64"/>
      <c r="F20" s="64">
        <f t="shared" si="48"/>
        <v>15</v>
      </c>
      <c r="G20" s="64">
        <f t="shared" si="38"/>
        <v>0.6</v>
      </c>
      <c r="H20" s="75">
        <v>1</v>
      </c>
      <c r="I20" s="64">
        <f t="shared" si="0"/>
        <v>-12</v>
      </c>
      <c r="J20" s="64">
        <f t="shared" si="1"/>
        <v>32.76</v>
      </c>
      <c r="K20" s="64">
        <f t="shared" si="39"/>
        <v>3.600000000000001</v>
      </c>
      <c r="L20" s="64">
        <f t="shared" si="2"/>
        <v>7.800000000000001</v>
      </c>
      <c r="M20" s="64">
        <f t="shared" si="40"/>
        <v>0.6</v>
      </c>
      <c r="N20" s="64">
        <f t="shared" si="3"/>
        <v>0.6435011087932845</v>
      </c>
      <c r="O20" s="64">
        <f t="shared" si="4"/>
        <v>0.7357549895697799</v>
      </c>
      <c r="P20" s="64">
        <f t="shared" si="5"/>
        <v>3.5999999999999996</v>
      </c>
      <c r="Q20" s="64">
        <f t="shared" si="6"/>
        <v>0</v>
      </c>
      <c r="R20" s="64">
        <f t="shared" si="7"/>
        <v>0</v>
      </c>
      <c r="S20" s="93">
        <f t="shared" si="41"/>
        <v>4.33575498956978</v>
      </c>
      <c r="T20" s="94">
        <f t="shared" si="49"/>
        <v>0.6</v>
      </c>
      <c r="U20" s="95">
        <f t="shared" si="42"/>
        <v>4.33575498956978</v>
      </c>
      <c r="V20" s="64"/>
      <c r="W20" s="75">
        <f t="shared" si="43"/>
        <v>3.0000000000000004</v>
      </c>
      <c r="X20" s="86">
        <f t="shared" si="44"/>
        <v>-0.02206293706293689</v>
      </c>
      <c r="Y20" s="64">
        <f t="shared" si="8"/>
        <v>1.0000591715976332</v>
      </c>
      <c r="Z20" s="64">
        <f t="shared" si="9"/>
        <v>-12.046493275954814</v>
      </c>
      <c r="AA20" s="64">
        <f t="shared" si="10"/>
        <v>36.13286439556946</v>
      </c>
      <c r="AB20" s="64">
        <f t="shared" si="45"/>
        <v>0.7602568698100055</v>
      </c>
      <c r="AC20" s="64">
        <f t="shared" si="46"/>
        <v>6.402996197367772</v>
      </c>
      <c r="AD20" s="64">
        <f t="shared" si="11"/>
        <v>0.02719087983989195</v>
      </c>
      <c r="AE20" s="64">
        <f t="shared" si="12"/>
        <v>0.13473938812847241</v>
      </c>
      <c r="AF20" s="86">
        <f t="shared" si="13"/>
        <v>0.0240909090909091</v>
      </c>
      <c r="AG20" s="64">
        <f t="shared" si="14"/>
        <v>0.6063272465781259</v>
      </c>
      <c r="AH20" s="64">
        <f t="shared" si="15"/>
        <v>0.5996400236742733</v>
      </c>
      <c r="AI20" s="87">
        <f t="shared" si="16"/>
        <v>0.0066872229038525965</v>
      </c>
      <c r="AJ20" s="87">
        <f t="shared" si="17"/>
        <v>0</v>
      </c>
      <c r="AK20" s="88">
        <f t="shared" si="18"/>
        <v>262.86818181818273</v>
      </c>
      <c r="AL20" s="89">
        <f t="shared" si="19"/>
        <v>0</v>
      </c>
      <c r="AM20" s="90">
        <f t="shared" si="20"/>
        <v>256.86818181818273</v>
      </c>
      <c r="AN20" s="89">
        <f t="shared" si="21"/>
        <v>0</v>
      </c>
      <c r="AO20" s="89">
        <f t="shared" si="22"/>
        <v>0.037724173553719174</v>
      </c>
      <c r="AP20" s="91">
        <f t="shared" si="23"/>
        <v>0</v>
      </c>
      <c r="AQ20" s="89">
        <f t="shared" si="24"/>
        <v>0</v>
      </c>
      <c r="AR20" s="90">
        <f t="shared" si="25"/>
        <v>3.001538733639901</v>
      </c>
      <c r="AS20" s="89">
        <f t="shared" si="26"/>
        <v>0</v>
      </c>
      <c r="AT20" s="90">
        <f t="shared" si="27"/>
        <v>3.0015387336399013</v>
      </c>
      <c r="AU20" s="89">
        <f t="shared" si="28"/>
        <v>0</v>
      </c>
      <c r="AV20" s="89">
        <f t="shared" si="29"/>
        <v>0</v>
      </c>
      <c r="AW20" s="89">
        <f t="shared" si="30"/>
        <v>0</v>
      </c>
      <c r="AX20" s="89">
        <f t="shared" si="31"/>
        <v>0</v>
      </c>
      <c r="AY20" s="89">
        <f t="shared" si="32"/>
        <v>0</v>
      </c>
      <c r="AZ20" s="90" t="b">
        <f t="shared" si="33"/>
        <v>0</v>
      </c>
      <c r="BA20" s="90" t="b">
        <f t="shared" si="34"/>
        <v>0</v>
      </c>
      <c r="BB20" s="64" t="b">
        <f t="shared" si="35"/>
        <v>0</v>
      </c>
      <c r="BC20" s="92">
        <f t="shared" si="36"/>
        <v>0</v>
      </c>
      <c r="BD20" s="90">
        <f t="shared" si="37"/>
        <v>0.04441139645757177</v>
      </c>
      <c r="BE20" s="89"/>
      <c r="BF20" s="90">
        <f t="shared" si="47"/>
        <v>0.04441139645757177</v>
      </c>
      <c r="BG20" s="90"/>
      <c r="BH20" s="89"/>
      <c r="BI20" s="50"/>
      <c r="BJ20" s="50"/>
      <c r="BK20" s="51"/>
      <c r="BL20" s="51"/>
      <c r="BM20" s="50"/>
      <c r="BN20" s="51"/>
      <c r="BO20" s="51"/>
      <c r="BP20" s="51"/>
      <c r="BQ20" s="51"/>
      <c r="BR20" s="50"/>
      <c r="BS20" s="54"/>
      <c r="BT20" s="54"/>
      <c r="BU20" s="54"/>
      <c r="BV20" s="43"/>
      <c r="BW20" s="56"/>
      <c r="BX20" s="43"/>
      <c r="BY20" s="43"/>
      <c r="BZ20" s="43"/>
      <c r="CA20" s="43"/>
      <c r="CB20" s="43"/>
      <c r="CC20" s="4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</row>
    <row r="21" spans="1:203" ht="12.75">
      <c r="A21" s="64"/>
      <c r="B21" s="64"/>
      <c r="C21" s="64"/>
      <c r="D21" s="64"/>
      <c r="E21" s="64"/>
      <c r="F21" s="64">
        <f t="shared" si="48"/>
        <v>16</v>
      </c>
      <c r="G21" s="64">
        <f t="shared" si="38"/>
        <v>0.64</v>
      </c>
      <c r="H21" s="75">
        <v>1</v>
      </c>
      <c r="I21" s="64">
        <f t="shared" si="0"/>
        <v>-12</v>
      </c>
      <c r="J21" s="64">
        <f t="shared" si="1"/>
        <v>32.569599999999994</v>
      </c>
      <c r="K21" s="64">
        <f t="shared" si="39"/>
        <v>3.7042678088928755</v>
      </c>
      <c r="L21" s="64">
        <f t="shared" si="2"/>
        <v>7.852133904446438</v>
      </c>
      <c r="M21" s="64">
        <f t="shared" si="40"/>
        <v>0.64</v>
      </c>
      <c r="N21" s="64">
        <f t="shared" si="3"/>
        <v>0.6654052348364474</v>
      </c>
      <c r="O21" s="64">
        <f t="shared" si="4"/>
        <v>0.8088055495172188</v>
      </c>
      <c r="P21" s="64">
        <f t="shared" si="5"/>
        <v>3.84</v>
      </c>
      <c r="Q21" s="64">
        <f t="shared" si="6"/>
        <v>0</v>
      </c>
      <c r="R21" s="64">
        <f t="shared" si="7"/>
        <v>0</v>
      </c>
      <c r="S21" s="93">
        <f t="shared" si="41"/>
        <v>4.648805549517219</v>
      </c>
      <c r="T21" s="94">
        <f t="shared" si="49"/>
        <v>0.64</v>
      </c>
      <c r="U21" s="95">
        <f t="shared" si="42"/>
        <v>4.648805549517219</v>
      </c>
      <c r="V21" s="64"/>
      <c r="W21" s="75">
        <f t="shared" si="43"/>
        <v>3.2000000000000006</v>
      </c>
      <c r="X21" s="86">
        <f t="shared" si="44"/>
        <v>-0.021790209790209614</v>
      </c>
      <c r="Y21" s="64">
        <f t="shared" si="8"/>
        <v>1.0000591715976332</v>
      </c>
      <c r="Z21" s="64">
        <f t="shared" si="9"/>
        <v>-12.046489080150618</v>
      </c>
      <c r="AA21" s="64">
        <f t="shared" si="10"/>
        <v>36.131216071983964</v>
      </c>
      <c r="AB21" s="64">
        <f t="shared" si="45"/>
        <v>0.764514946312087</v>
      </c>
      <c r="AC21" s="64">
        <f t="shared" si="46"/>
        <v>6.405123011869702</v>
      </c>
      <c r="AD21" s="64">
        <f t="shared" si="11"/>
        <v>0.027479967224172532</v>
      </c>
      <c r="AE21" s="64">
        <f t="shared" si="12"/>
        <v>0.13545484537449304</v>
      </c>
      <c r="AF21" s="86">
        <f t="shared" si="13"/>
        <v>0.024363636363636375</v>
      </c>
      <c r="AG21" s="64">
        <f t="shared" si="14"/>
        <v>0.6095468041852187</v>
      </c>
      <c r="AH21" s="64">
        <f t="shared" si="15"/>
        <v>0.602749382932686</v>
      </c>
      <c r="AI21" s="87">
        <f t="shared" si="16"/>
        <v>0.006797421252532687</v>
      </c>
      <c r="AJ21" s="87">
        <f t="shared" si="17"/>
        <v>0</v>
      </c>
      <c r="AK21" s="88">
        <f t="shared" si="18"/>
        <v>262.83272727272816</v>
      </c>
      <c r="AL21" s="89">
        <f t="shared" si="19"/>
        <v>0</v>
      </c>
      <c r="AM21" s="90">
        <f t="shared" si="20"/>
        <v>256.83272727272816</v>
      </c>
      <c r="AN21" s="89">
        <f t="shared" si="21"/>
        <v>0</v>
      </c>
      <c r="AO21" s="89">
        <f t="shared" si="22"/>
        <v>0.03858314049586794</v>
      </c>
      <c r="AP21" s="91">
        <f t="shared" si="23"/>
        <v>0</v>
      </c>
      <c r="AQ21" s="89">
        <f t="shared" si="24"/>
        <v>0</v>
      </c>
      <c r="AR21" s="90">
        <f t="shared" si="25"/>
        <v>3.0019525999292545</v>
      </c>
      <c r="AS21" s="89">
        <f t="shared" si="26"/>
        <v>0</v>
      </c>
      <c r="AT21" s="90">
        <f t="shared" si="27"/>
        <v>3.001952599929254</v>
      </c>
      <c r="AU21" s="89">
        <f t="shared" si="28"/>
        <v>0</v>
      </c>
      <c r="AV21" s="89">
        <f t="shared" si="29"/>
        <v>0</v>
      </c>
      <c r="AW21" s="89">
        <f t="shared" si="30"/>
        <v>0</v>
      </c>
      <c r="AX21" s="89">
        <f t="shared" si="31"/>
        <v>0</v>
      </c>
      <c r="AY21" s="89">
        <f t="shared" si="32"/>
        <v>0</v>
      </c>
      <c r="AZ21" s="90" t="b">
        <f t="shared" si="33"/>
        <v>0</v>
      </c>
      <c r="BA21" s="90" t="b">
        <f t="shared" si="34"/>
        <v>0</v>
      </c>
      <c r="BB21" s="64" t="b">
        <f t="shared" si="35"/>
        <v>0</v>
      </c>
      <c r="BC21" s="92">
        <f t="shared" si="36"/>
        <v>0</v>
      </c>
      <c r="BD21" s="90">
        <f t="shared" si="37"/>
        <v>0.045380561748400626</v>
      </c>
      <c r="BE21" s="89"/>
      <c r="BF21" s="90">
        <f t="shared" si="47"/>
        <v>0.045380561748400626</v>
      </c>
      <c r="BG21" s="90"/>
      <c r="BH21" s="89"/>
      <c r="BI21" s="50"/>
      <c r="BJ21" s="50"/>
      <c r="BK21" s="51"/>
      <c r="BL21" s="51"/>
      <c r="BM21" s="50"/>
      <c r="BN21" s="51"/>
      <c r="BO21" s="51"/>
      <c r="BP21" s="51"/>
      <c r="BQ21" s="51"/>
      <c r="BR21" s="50"/>
      <c r="BS21" s="54"/>
      <c r="BT21" s="54"/>
      <c r="BU21" s="54"/>
      <c r="BV21" s="43"/>
      <c r="BW21" s="56"/>
      <c r="BX21" s="43"/>
      <c r="BY21" s="43"/>
      <c r="BZ21" s="43"/>
      <c r="CA21" s="43"/>
      <c r="CB21" s="43"/>
      <c r="CC21" s="4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</row>
    <row r="22" spans="1:203" ht="12.75">
      <c r="A22" s="64"/>
      <c r="B22" s="64"/>
      <c r="C22" s="64"/>
      <c r="D22" s="64"/>
      <c r="E22" s="64"/>
      <c r="F22" s="64">
        <f t="shared" si="48"/>
        <v>17</v>
      </c>
      <c r="G22" s="64">
        <f t="shared" si="38"/>
        <v>0.68</v>
      </c>
      <c r="H22" s="75">
        <v>1</v>
      </c>
      <c r="I22" s="64">
        <f t="shared" si="0"/>
        <v>-12</v>
      </c>
      <c r="J22" s="64">
        <f t="shared" si="1"/>
        <v>32.382400000000004</v>
      </c>
      <c r="K22" s="64">
        <f t="shared" si="39"/>
        <v>3.803997896949995</v>
      </c>
      <c r="L22" s="64">
        <f t="shared" si="2"/>
        <v>7.901998948474997</v>
      </c>
      <c r="M22" s="64">
        <f t="shared" si="40"/>
        <v>0.68</v>
      </c>
      <c r="N22" s="64">
        <f t="shared" si="3"/>
        <v>0.68671427634959</v>
      </c>
      <c r="O22" s="64">
        <f t="shared" si="4"/>
        <v>0.8838954633421574</v>
      </c>
      <c r="P22" s="64">
        <f t="shared" si="5"/>
        <v>4.08</v>
      </c>
      <c r="Q22" s="64">
        <f t="shared" si="6"/>
        <v>0</v>
      </c>
      <c r="R22" s="64">
        <f t="shared" si="7"/>
        <v>0</v>
      </c>
      <c r="S22" s="93">
        <f t="shared" si="41"/>
        <v>4.9638954633421575</v>
      </c>
      <c r="T22" s="94">
        <f t="shared" si="49"/>
        <v>0.68</v>
      </c>
      <c r="U22" s="95">
        <f t="shared" si="42"/>
        <v>4.9638954633421575</v>
      </c>
      <c r="V22" s="64"/>
      <c r="W22" s="75">
        <f t="shared" si="43"/>
        <v>3.400000000000001</v>
      </c>
      <c r="X22" s="86">
        <f t="shared" si="44"/>
        <v>-0.02151748251748234</v>
      </c>
      <c r="Y22" s="64">
        <f t="shared" si="8"/>
        <v>1.0000591715976332</v>
      </c>
      <c r="Z22" s="64">
        <f t="shared" si="9"/>
        <v>-12.046484884346423</v>
      </c>
      <c r="AA22" s="64">
        <f t="shared" si="10"/>
        <v>36.129567897158786</v>
      </c>
      <c r="AB22" s="64">
        <f t="shared" si="45"/>
        <v>0.7687490508186913</v>
      </c>
      <c r="AC22" s="64">
        <f t="shared" si="46"/>
        <v>6.407237841083084</v>
      </c>
      <c r="AD22" s="64">
        <f t="shared" si="11"/>
        <v>0.027768962413925825</v>
      </c>
      <c r="AE22" s="64">
        <f t="shared" si="12"/>
        <v>0.1361663399683346</v>
      </c>
      <c r="AF22" s="86">
        <f t="shared" si="13"/>
        <v>0.02463636363636365</v>
      </c>
      <c r="AG22" s="64">
        <f t="shared" si="14"/>
        <v>0.6127485298575057</v>
      </c>
      <c r="AH22" s="64">
        <f t="shared" si="15"/>
        <v>0.6058403318549213</v>
      </c>
      <c r="AI22" s="87">
        <f t="shared" si="16"/>
        <v>0.006908198002584465</v>
      </c>
      <c r="AJ22" s="87">
        <f t="shared" si="17"/>
        <v>0</v>
      </c>
      <c r="AK22" s="88">
        <f t="shared" si="18"/>
        <v>262.7972727272736</v>
      </c>
      <c r="AL22" s="89">
        <f t="shared" si="19"/>
        <v>0</v>
      </c>
      <c r="AM22" s="90">
        <f t="shared" si="20"/>
        <v>256.79727272727365</v>
      </c>
      <c r="AN22" s="89">
        <f t="shared" si="21"/>
        <v>0</v>
      </c>
      <c r="AO22" s="89">
        <f t="shared" si="22"/>
        <v>0.03945177685950432</v>
      </c>
      <c r="AP22" s="91">
        <f t="shared" si="23"/>
        <v>0</v>
      </c>
      <c r="AQ22" s="89">
        <f t="shared" si="24"/>
        <v>0</v>
      </c>
      <c r="AR22" s="90">
        <f t="shared" si="25"/>
        <v>3.0023664662186067</v>
      </c>
      <c r="AS22" s="89">
        <f t="shared" si="26"/>
        <v>0</v>
      </c>
      <c r="AT22" s="90">
        <f t="shared" si="27"/>
        <v>3.0023664662186067</v>
      </c>
      <c r="AU22" s="89">
        <f t="shared" si="28"/>
        <v>0</v>
      </c>
      <c r="AV22" s="89">
        <f t="shared" si="29"/>
        <v>0</v>
      </c>
      <c r="AW22" s="89">
        <f t="shared" si="30"/>
        <v>0</v>
      </c>
      <c r="AX22" s="89">
        <f t="shared" si="31"/>
        <v>0</v>
      </c>
      <c r="AY22" s="89">
        <f t="shared" si="32"/>
        <v>0</v>
      </c>
      <c r="AZ22" s="90" t="b">
        <f t="shared" si="33"/>
        <v>0</v>
      </c>
      <c r="BA22" s="90" t="b">
        <f t="shared" si="34"/>
        <v>0</v>
      </c>
      <c r="BB22" s="64" t="b">
        <f t="shared" si="35"/>
        <v>0</v>
      </c>
      <c r="BC22" s="92">
        <f t="shared" si="36"/>
        <v>0</v>
      </c>
      <c r="BD22" s="90">
        <f t="shared" si="37"/>
        <v>0.04635997486208879</v>
      </c>
      <c r="BE22" s="89"/>
      <c r="BF22" s="90">
        <f t="shared" si="47"/>
        <v>0.04635997486208879</v>
      </c>
      <c r="BG22" s="90"/>
      <c r="BH22" s="89"/>
      <c r="BI22" s="50"/>
      <c r="BJ22" s="50"/>
      <c r="BK22" s="51"/>
      <c r="BL22" s="51"/>
      <c r="BM22" s="50"/>
      <c r="BN22" s="51"/>
      <c r="BO22" s="51"/>
      <c r="BP22" s="51"/>
      <c r="BQ22" s="51"/>
      <c r="BR22" s="50"/>
      <c r="BS22" s="54"/>
      <c r="BT22" s="54"/>
      <c r="BU22" s="54"/>
      <c r="BV22" s="43"/>
      <c r="BW22" s="56"/>
      <c r="BX22" s="43"/>
      <c r="BY22" s="43"/>
      <c r="BZ22" s="43"/>
      <c r="CA22" s="43"/>
      <c r="CB22" s="43"/>
      <c r="CC22" s="4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</row>
    <row r="23" spans="1:203" ht="12.75">
      <c r="A23" s="64"/>
      <c r="B23" s="64"/>
      <c r="C23" s="64"/>
      <c r="D23" s="64"/>
      <c r="E23" s="64"/>
      <c r="F23" s="64">
        <f t="shared" si="48"/>
        <v>18</v>
      </c>
      <c r="G23" s="64">
        <f t="shared" si="38"/>
        <v>0.72</v>
      </c>
      <c r="H23" s="75">
        <v>1</v>
      </c>
      <c r="I23" s="64">
        <f t="shared" si="0"/>
        <v>-12</v>
      </c>
      <c r="J23" s="64">
        <f t="shared" si="1"/>
        <v>32.1984</v>
      </c>
      <c r="K23" s="64">
        <f t="shared" si="39"/>
        <v>3.8995384342252613</v>
      </c>
      <c r="L23" s="64">
        <f t="shared" si="2"/>
        <v>7.949769217112631</v>
      </c>
      <c r="M23" s="64">
        <f t="shared" si="40"/>
        <v>0.72</v>
      </c>
      <c r="N23" s="64">
        <f t="shared" si="3"/>
        <v>0.7074832117793427</v>
      </c>
      <c r="O23" s="64">
        <f t="shared" si="4"/>
        <v>0.960937545498644</v>
      </c>
      <c r="P23" s="64">
        <f t="shared" si="5"/>
        <v>4.32</v>
      </c>
      <c r="Q23" s="64">
        <f t="shared" si="6"/>
        <v>0</v>
      </c>
      <c r="R23" s="64">
        <f t="shared" si="7"/>
        <v>0</v>
      </c>
      <c r="S23" s="93">
        <f t="shared" si="41"/>
        <v>5.280937545498644</v>
      </c>
      <c r="T23" s="94">
        <f t="shared" si="49"/>
        <v>0.72</v>
      </c>
      <c r="U23" s="95">
        <f t="shared" si="42"/>
        <v>5.280937545498644</v>
      </c>
      <c r="V23" s="64"/>
      <c r="W23" s="75">
        <f t="shared" si="43"/>
        <v>3.600000000000001</v>
      </c>
      <c r="X23" s="86">
        <f t="shared" si="44"/>
        <v>-0.021244755244755067</v>
      </c>
      <c r="Y23" s="64">
        <f t="shared" si="8"/>
        <v>1.0000591715976332</v>
      </c>
      <c r="Z23" s="64">
        <f t="shared" si="9"/>
        <v>-12.046480688542227</v>
      </c>
      <c r="AA23" s="64">
        <f t="shared" si="10"/>
        <v>36.12791987109394</v>
      </c>
      <c r="AB23" s="64">
        <f t="shared" si="45"/>
        <v>0.7729595772699275</v>
      </c>
      <c r="AC23" s="64">
        <f t="shared" si="46"/>
        <v>6.409340881966315</v>
      </c>
      <c r="AD23" s="64">
        <f t="shared" si="11"/>
        <v>0.028057866924216412</v>
      </c>
      <c r="AE23" s="64">
        <f t="shared" si="12"/>
        <v>0.1368739373868837</v>
      </c>
      <c r="AF23" s="86">
        <f t="shared" si="13"/>
        <v>0.024909090909090922</v>
      </c>
      <c r="AG23" s="64">
        <f t="shared" si="14"/>
        <v>0.6159327182409766</v>
      </c>
      <c r="AH23" s="64">
        <f t="shared" si="15"/>
        <v>0.6089131683286199</v>
      </c>
      <c r="AI23" s="87">
        <f t="shared" si="16"/>
        <v>0.0070195499123567595</v>
      </c>
      <c r="AJ23" s="87">
        <f t="shared" si="17"/>
        <v>0</v>
      </c>
      <c r="AK23" s="88">
        <f t="shared" si="18"/>
        <v>262.7618181818191</v>
      </c>
      <c r="AL23" s="89">
        <f t="shared" si="19"/>
        <v>0</v>
      </c>
      <c r="AM23" s="90">
        <f t="shared" si="20"/>
        <v>256.7618181818191</v>
      </c>
      <c r="AN23" s="89">
        <f t="shared" si="21"/>
        <v>0</v>
      </c>
      <c r="AO23" s="89">
        <f t="shared" si="22"/>
        <v>0.040330082644628285</v>
      </c>
      <c r="AP23" s="91">
        <f t="shared" si="23"/>
        <v>0</v>
      </c>
      <c r="AQ23" s="89">
        <f t="shared" si="24"/>
        <v>0</v>
      </c>
      <c r="AR23" s="90">
        <f t="shared" si="25"/>
        <v>3.0027803325079594</v>
      </c>
      <c r="AS23" s="89">
        <f t="shared" si="26"/>
        <v>0</v>
      </c>
      <c r="AT23" s="90">
        <f t="shared" si="27"/>
        <v>3.0027803325079594</v>
      </c>
      <c r="AU23" s="89">
        <f t="shared" si="28"/>
        <v>0</v>
      </c>
      <c r="AV23" s="89">
        <f t="shared" si="29"/>
        <v>0</v>
      </c>
      <c r="AW23" s="89">
        <f t="shared" si="30"/>
        <v>0</v>
      </c>
      <c r="AX23" s="89">
        <f t="shared" si="31"/>
        <v>0</v>
      </c>
      <c r="AY23" s="89">
        <f t="shared" si="32"/>
        <v>0</v>
      </c>
      <c r="AZ23" s="90" t="b">
        <f t="shared" si="33"/>
        <v>0</v>
      </c>
      <c r="BA23" s="90" t="b">
        <f t="shared" si="34"/>
        <v>0</v>
      </c>
      <c r="BB23" s="64" t="b">
        <f t="shared" si="35"/>
        <v>0</v>
      </c>
      <c r="BC23" s="92">
        <f t="shared" si="36"/>
        <v>0</v>
      </c>
      <c r="BD23" s="90">
        <f t="shared" si="37"/>
        <v>0.047349632556985044</v>
      </c>
      <c r="BE23" s="89"/>
      <c r="BF23" s="90">
        <f t="shared" si="47"/>
        <v>0.047349632556985044</v>
      </c>
      <c r="BG23" s="90"/>
      <c r="BH23" s="89"/>
      <c r="BI23" s="50"/>
      <c r="BJ23" s="50"/>
      <c r="BK23" s="51"/>
      <c r="BL23" s="51"/>
      <c r="BM23" s="50"/>
      <c r="BN23" s="51"/>
      <c r="BO23" s="51"/>
      <c r="BP23" s="51"/>
      <c r="BQ23" s="51"/>
      <c r="BR23" s="50"/>
      <c r="BS23" s="54"/>
      <c r="BT23" s="54"/>
      <c r="BU23" s="54"/>
      <c r="BV23" s="43"/>
      <c r="BW23" s="56"/>
      <c r="BX23" s="43"/>
      <c r="BY23" s="43"/>
      <c r="BZ23" s="43"/>
      <c r="CA23" s="43"/>
      <c r="CB23" s="43"/>
      <c r="CC23" s="4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</row>
    <row r="24" spans="1:203" ht="12.75">
      <c r="A24" s="64"/>
      <c r="B24" s="64"/>
      <c r="C24" s="64"/>
      <c r="D24" s="64"/>
      <c r="E24" s="64"/>
      <c r="F24" s="64">
        <f t="shared" si="48"/>
        <v>19</v>
      </c>
      <c r="G24" s="64">
        <f t="shared" si="38"/>
        <v>0.76</v>
      </c>
      <c r="H24" s="75">
        <v>1</v>
      </c>
      <c r="I24" s="64">
        <f t="shared" si="0"/>
        <v>-12</v>
      </c>
      <c r="J24" s="64">
        <f t="shared" si="1"/>
        <v>32.017599999999995</v>
      </c>
      <c r="K24" s="64">
        <f t="shared" si="39"/>
        <v>3.991190298645258</v>
      </c>
      <c r="L24" s="64">
        <f t="shared" si="2"/>
        <v>7.995595149322629</v>
      </c>
      <c r="M24" s="64">
        <f t="shared" si="40"/>
        <v>0.76</v>
      </c>
      <c r="N24" s="64">
        <f t="shared" si="3"/>
        <v>0.727759478228963</v>
      </c>
      <c r="O24" s="64">
        <f t="shared" si="4"/>
        <v>1.039851084788991</v>
      </c>
      <c r="P24" s="64">
        <f t="shared" si="5"/>
        <v>4.5600000000000005</v>
      </c>
      <c r="Q24" s="64">
        <f t="shared" si="6"/>
        <v>0</v>
      </c>
      <c r="R24" s="64">
        <f t="shared" si="7"/>
        <v>0</v>
      </c>
      <c r="S24" s="93">
        <f t="shared" si="41"/>
        <v>5.599851084788991</v>
      </c>
      <c r="T24" s="94">
        <f t="shared" si="49"/>
        <v>0.76</v>
      </c>
      <c r="U24" s="95">
        <f t="shared" si="42"/>
        <v>5.599851084788991</v>
      </c>
      <c r="V24" s="64"/>
      <c r="W24" s="75">
        <f t="shared" si="43"/>
        <v>3.800000000000001</v>
      </c>
      <c r="X24" s="86">
        <f t="shared" si="44"/>
        <v>-0.020972027972027796</v>
      </c>
      <c r="Y24" s="64">
        <f t="shared" si="8"/>
        <v>1.0000591715976332</v>
      </c>
      <c r="Z24" s="64">
        <f t="shared" si="9"/>
        <v>-12.046476492738032</v>
      </c>
      <c r="AA24" s="64">
        <f t="shared" si="10"/>
        <v>36.12627199378942</v>
      </c>
      <c r="AB24" s="64">
        <f t="shared" si="45"/>
        <v>0.7771469088986237</v>
      </c>
      <c r="AC24" s="64">
        <f t="shared" si="46"/>
        <v>6.411432326124474</v>
      </c>
      <c r="AD24" s="64">
        <f t="shared" si="11"/>
        <v>0.02834668222892952</v>
      </c>
      <c r="AE24" s="64">
        <f t="shared" si="12"/>
        <v>0.13757770132543712</v>
      </c>
      <c r="AF24" s="86">
        <f t="shared" si="13"/>
        <v>0.025181818181818194</v>
      </c>
      <c r="AG24" s="64">
        <f t="shared" si="14"/>
        <v>0.619099655964467</v>
      </c>
      <c r="AH24" s="64">
        <f t="shared" si="15"/>
        <v>0.611968182171416</v>
      </c>
      <c r="AI24" s="87">
        <f t="shared" si="16"/>
        <v>0.007131473793051013</v>
      </c>
      <c r="AJ24" s="87">
        <f t="shared" si="17"/>
        <v>0</v>
      </c>
      <c r="AK24" s="88">
        <f t="shared" si="18"/>
        <v>262.72636363636457</v>
      </c>
      <c r="AL24" s="89">
        <f t="shared" si="19"/>
        <v>0</v>
      </c>
      <c r="AM24" s="90">
        <f t="shared" si="20"/>
        <v>256.72636363636457</v>
      </c>
      <c r="AN24" s="89">
        <f t="shared" si="21"/>
        <v>0</v>
      </c>
      <c r="AO24" s="89">
        <f t="shared" si="22"/>
        <v>0.04121805785123986</v>
      </c>
      <c r="AP24" s="91">
        <f t="shared" si="23"/>
        <v>0</v>
      </c>
      <c r="AQ24" s="89">
        <f t="shared" si="24"/>
        <v>0</v>
      </c>
      <c r="AR24" s="90">
        <f t="shared" si="25"/>
        <v>3.003194198797312</v>
      </c>
      <c r="AS24" s="89">
        <f t="shared" si="26"/>
        <v>0</v>
      </c>
      <c r="AT24" s="90">
        <f t="shared" si="27"/>
        <v>3.003194198797312</v>
      </c>
      <c r="AU24" s="89">
        <f t="shared" si="28"/>
        <v>0</v>
      </c>
      <c r="AV24" s="89">
        <f t="shared" si="29"/>
        <v>0</v>
      </c>
      <c r="AW24" s="89">
        <f t="shared" si="30"/>
        <v>0</v>
      </c>
      <c r="AX24" s="89">
        <f t="shared" si="31"/>
        <v>0</v>
      </c>
      <c r="AY24" s="89">
        <f t="shared" si="32"/>
        <v>0</v>
      </c>
      <c r="AZ24" s="90" t="b">
        <f t="shared" si="33"/>
        <v>0</v>
      </c>
      <c r="BA24" s="90" t="b">
        <f t="shared" si="34"/>
        <v>0</v>
      </c>
      <c r="BB24" s="64" t="b">
        <f t="shared" si="35"/>
        <v>0</v>
      </c>
      <c r="BC24" s="92">
        <f t="shared" si="36"/>
        <v>0</v>
      </c>
      <c r="BD24" s="90">
        <f t="shared" si="37"/>
        <v>0.04834953164429087</v>
      </c>
      <c r="BE24" s="89"/>
      <c r="BF24" s="90">
        <f t="shared" si="47"/>
        <v>0.04834953164429087</v>
      </c>
      <c r="BG24" s="90"/>
      <c r="BH24" s="89"/>
      <c r="BI24" s="50"/>
      <c r="BJ24" s="50"/>
      <c r="BK24" s="51"/>
      <c r="BL24" s="51"/>
      <c r="BM24" s="50"/>
      <c r="BN24" s="51"/>
      <c r="BO24" s="51"/>
      <c r="BP24" s="51"/>
      <c r="BQ24" s="51"/>
      <c r="BR24" s="50"/>
      <c r="BS24" s="54"/>
      <c r="BT24" s="54"/>
      <c r="BU24" s="54"/>
      <c r="BV24" s="43"/>
      <c r="BW24" s="56"/>
      <c r="BX24" s="43"/>
      <c r="BY24" s="43"/>
      <c r="BZ24" s="43"/>
      <c r="CA24" s="43"/>
      <c r="CB24" s="43"/>
      <c r="CC24" s="4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</row>
    <row r="25" spans="1:203" ht="12.75">
      <c r="A25" s="64"/>
      <c r="B25" s="64"/>
      <c r="C25" s="64"/>
      <c r="D25" s="64"/>
      <c r="E25" s="64"/>
      <c r="F25" s="64">
        <f t="shared" si="48"/>
        <v>20</v>
      </c>
      <c r="G25" s="64">
        <f t="shared" si="38"/>
        <v>0.8</v>
      </c>
      <c r="H25" s="75">
        <v>1</v>
      </c>
      <c r="I25" s="64">
        <f t="shared" si="0"/>
        <v>-12</v>
      </c>
      <c r="J25" s="64">
        <f t="shared" si="1"/>
        <v>31.84</v>
      </c>
      <c r="K25" s="64">
        <f t="shared" si="39"/>
        <v>4.079215610874228</v>
      </c>
      <c r="L25" s="64">
        <f t="shared" si="2"/>
        <v>8.039607805437115</v>
      </c>
      <c r="M25" s="64">
        <f t="shared" si="40"/>
        <v>0.8</v>
      </c>
      <c r="N25" s="64">
        <f t="shared" si="3"/>
        <v>0.7475843496690207</v>
      </c>
      <c r="O25" s="64">
        <f t="shared" si="4"/>
        <v>1.120560987529768</v>
      </c>
      <c r="P25" s="64">
        <f t="shared" si="5"/>
        <v>4.800000000000001</v>
      </c>
      <c r="Q25" s="64">
        <f t="shared" si="6"/>
        <v>0</v>
      </c>
      <c r="R25" s="64">
        <f t="shared" si="7"/>
        <v>0</v>
      </c>
      <c r="S25" s="93">
        <f t="shared" si="41"/>
        <v>5.920560987529768</v>
      </c>
      <c r="T25" s="94">
        <f t="shared" si="49"/>
        <v>0.8</v>
      </c>
      <c r="U25" s="95">
        <f t="shared" si="42"/>
        <v>5.920560987529768</v>
      </c>
      <c r="V25" s="64"/>
      <c r="W25" s="75">
        <f t="shared" si="43"/>
        <v>4.000000000000001</v>
      </c>
      <c r="X25" s="86">
        <f t="shared" si="44"/>
        <v>-0.02069930069930052</v>
      </c>
      <c r="Y25" s="64">
        <f t="shared" si="8"/>
        <v>1.0000591715976332</v>
      </c>
      <c r="Z25" s="64">
        <f t="shared" si="9"/>
        <v>-12.046472296933835</v>
      </c>
      <c r="AA25" s="64">
        <f t="shared" si="10"/>
        <v>36.12462426524524</v>
      </c>
      <c r="AB25" s="64">
        <f t="shared" si="45"/>
        <v>0.781311418633246</v>
      </c>
      <c r="AC25" s="64">
        <f t="shared" si="46"/>
        <v>6.413512360010758</v>
      </c>
      <c r="AD25" s="64">
        <f t="shared" si="11"/>
        <v>0.028635409762320516</v>
      </c>
      <c r="AE25" s="64">
        <f t="shared" si="12"/>
        <v>0.13827769376481958</v>
      </c>
      <c r="AF25" s="86">
        <f t="shared" si="13"/>
        <v>0.02545454545454547</v>
      </c>
      <c r="AG25" s="64">
        <f t="shared" si="14"/>
        <v>0.6222496219416881</v>
      </c>
      <c r="AH25" s="64">
        <f t="shared" si="15"/>
        <v>0.6150056554341818</v>
      </c>
      <c r="AI25" s="87">
        <f t="shared" si="16"/>
        <v>0.00724396650750625</v>
      </c>
      <c r="AJ25" s="87">
        <f t="shared" si="17"/>
        <v>0</v>
      </c>
      <c r="AK25" s="88">
        <f t="shared" si="18"/>
        <v>262.69090909091</v>
      </c>
      <c r="AL25" s="89">
        <f t="shared" si="19"/>
        <v>0</v>
      </c>
      <c r="AM25" s="90">
        <f t="shared" si="20"/>
        <v>256.69090909091</v>
      </c>
      <c r="AN25" s="89">
        <f t="shared" si="21"/>
        <v>0</v>
      </c>
      <c r="AO25" s="89">
        <f t="shared" si="22"/>
        <v>0.042115702479339046</v>
      </c>
      <c r="AP25" s="91">
        <f t="shared" si="23"/>
        <v>0</v>
      </c>
      <c r="AQ25" s="89">
        <f t="shared" si="24"/>
        <v>0</v>
      </c>
      <c r="AR25" s="90">
        <f t="shared" si="25"/>
        <v>3.0036080650866643</v>
      </c>
      <c r="AS25" s="89">
        <f t="shared" si="26"/>
        <v>0</v>
      </c>
      <c r="AT25" s="90">
        <f t="shared" si="27"/>
        <v>3.0036080650866643</v>
      </c>
      <c r="AU25" s="89">
        <f t="shared" si="28"/>
        <v>0</v>
      </c>
      <c r="AV25" s="89">
        <f t="shared" si="29"/>
        <v>0</v>
      </c>
      <c r="AW25" s="89">
        <f t="shared" si="30"/>
        <v>0</v>
      </c>
      <c r="AX25" s="89">
        <f t="shared" si="31"/>
        <v>0</v>
      </c>
      <c r="AY25" s="89">
        <f t="shared" si="32"/>
        <v>0</v>
      </c>
      <c r="AZ25" s="90" t="b">
        <f t="shared" si="33"/>
        <v>0</v>
      </c>
      <c r="BA25" s="90" t="b">
        <f t="shared" si="34"/>
        <v>0</v>
      </c>
      <c r="BB25" s="64" t="b">
        <f t="shared" si="35"/>
        <v>0</v>
      </c>
      <c r="BC25" s="92">
        <f t="shared" si="36"/>
        <v>0</v>
      </c>
      <c r="BD25" s="90">
        <f t="shared" si="37"/>
        <v>0.049359668986845295</v>
      </c>
      <c r="BE25" s="89"/>
      <c r="BF25" s="90">
        <f t="shared" si="47"/>
        <v>0.049359668986845295</v>
      </c>
      <c r="BG25" s="90"/>
      <c r="BH25" s="89"/>
      <c r="BI25" s="50"/>
      <c r="BJ25" s="50"/>
      <c r="BK25" s="51"/>
      <c r="BL25" s="51"/>
      <c r="BM25" s="50"/>
      <c r="BN25" s="51"/>
      <c r="BO25" s="51"/>
      <c r="BP25" s="51"/>
      <c r="BQ25" s="51"/>
      <c r="BR25" s="50"/>
      <c r="BS25" s="54"/>
      <c r="BT25" s="54"/>
      <c r="BU25" s="54"/>
      <c r="BV25" s="43"/>
      <c r="BW25" s="56"/>
      <c r="BX25" s="43"/>
      <c r="BY25" s="43"/>
      <c r="BZ25" s="43"/>
      <c r="CA25" s="43"/>
      <c r="CB25" s="43"/>
      <c r="CC25" s="4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</row>
    <row r="26" spans="1:203" ht="12.75">
      <c r="A26" s="64"/>
      <c r="B26" s="64"/>
      <c r="C26" s="64"/>
      <c r="D26" s="64"/>
      <c r="E26" s="64"/>
      <c r="F26" s="64">
        <f t="shared" si="48"/>
        <v>21</v>
      </c>
      <c r="G26" s="64">
        <f t="shared" si="38"/>
        <v>0.84</v>
      </c>
      <c r="H26" s="75">
        <v>1</v>
      </c>
      <c r="I26" s="64">
        <f t="shared" si="0"/>
        <v>-12</v>
      </c>
      <c r="J26" s="64">
        <f t="shared" si="1"/>
        <v>31.665599999999998</v>
      </c>
      <c r="K26" s="64">
        <f t="shared" si="39"/>
        <v>4.163844377495394</v>
      </c>
      <c r="L26" s="64">
        <f t="shared" si="2"/>
        <v>8.081922188747697</v>
      </c>
      <c r="M26" s="64">
        <f t="shared" si="40"/>
        <v>0.84</v>
      </c>
      <c r="N26" s="64">
        <f t="shared" si="3"/>
        <v>0.7669940078618664</v>
      </c>
      <c r="O26" s="64">
        <f t="shared" si="4"/>
        <v>1.2029970715308869</v>
      </c>
      <c r="P26" s="64">
        <f t="shared" si="5"/>
        <v>5.04</v>
      </c>
      <c r="Q26" s="64">
        <f t="shared" si="6"/>
        <v>0</v>
      </c>
      <c r="R26" s="64">
        <f t="shared" si="7"/>
        <v>0</v>
      </c>
      <c r="S26" s="93">
        <f t="shared" si="41"/>
        <v>6.242997071530887</v>
      </c>
      <c r="T26" s="94">
        <f t="shared" si="49"/>
        <v>0.84</v>
      </c>
      <c r="U26" s="95">
        <f t="shared" si="42"/>
        <v>6.242997071530887</v>
      </c>
      <c r="V26" s="64"/>
      <c r="W26" s="75">
        <f t="shared" si="43"/>
        <v>4.200000000000001</v>
      </c>
      <c r="X26" s="86">
        <f t="shared" si="44"/>
        <v>-0.020426573426573245</v>
      </c>
      <c r="Y26" s="64">
        <f t="shared" si="8"/>
        <v>1.0000591715976332</v>
      </c>
      <c r="Z26" s="64">
        <f t="shared" si="9"/>
        <v>-12.046468101129639</v>
      </c>
      <c r="AA26" s="64">
        <f t="shared" si="10"/>
        <v>36.122976685461396</v>
      </c>
      <c r="AB26" s="64">
        <f t="shared" si="45"/>
        <v>0.7854534694820329</v>
      </c>
      <c r="AC26" s="64">
        <f t="shared" si="46"/>
        <v>6.4155811651185495</v>
      </c>
      <c r="AD26" s="64">
        <f t="shared" si="11"/>
        <v>0.028924050920492342</v>
      </c>
      <c r="AE26" s="64">
        <f t="shared" si="12"/>
        <v>0.1389739750352963</v>
      </c>
      <c r="AF26" s="86">
        <f t="shared" si="13"/>
        <v>0.025727272727272744</v>
      </c>
      <c r="AG26" s="64">
        <f t="shared" si="14"/>
        <v>0.6253828876588333</v>
      </c>
      <c r="AH26" s="64">
        <f t="shared" si="15"/>
        <v>0.6180258626901629</v>
      </c>
      <c r="AI26" s="87">
        <f t="shared" si="16"/>
        <v>0.0073570249686704114</v>
      </c>
      <c r="AJ26" s="87">
        <f t="shared" si="17"/>
        <v>0</v>
      </c>
      <c r="AK26" s="88">
        <f t="shared" si="18"/>
        <v>262.6554545454555</v>
      </c>
      <c r="AL26" s="89">
        <f t="shared" si="19"/>
        <v>0</v>
      </c>
      <c r="AM26" s="90">
        <f t="shared" si="20"/>
        <v>256.6554545454554</v>
      </c>
      <c r="AN26" s="89">
        <f t="shared" si="21"/>
        <v>0</v>
      </c>
      <c r="AO26" s="89">
        <f t="shared" si="22"/>
        <v>0.04302301652892583</v>
      </c>
      <c r="AP26" s="91">
        <f t="shared" si="23"/>
        <v>0</v>
      </c>
      <c r="AQ26" s="89">
        <f t="shared" si="24"/>
        <v>0</v>
      </c>
      <c r="AR26" s="90">
        <f t="shared" si="25"/>
        <v>3.004021931376017</v>
      </c>
      <c r="AS26" s="89">
        <f t="shared" si="26"/>
        <v>0</v>
      </c>
      <c r="AT26" s="90">
        <f t="shared" si="27"/>
        <v>3.0040219313760175</v>
      </c>
      <c r="AU26" s="89">
        <f t="shared" si="28"/>
        <v>0</v>
      </c>
      <c r="AV26" s="89">
        <f t="shared" si="29"/>
        <v>0</v>
      </c>
      <c r="AW26" s="89">
        <f t="shared" si="30"/>
        <v>0</v>
      </c>
      <c r="AX26" s="89">
        <f t="shared" si="31"/>
        <v>0</v>
      </c>
      <c r="AY26" s="89">
        <f t="shared" si="32"/>
        <v>0</v>
      </c>
      <c r="AZ26" s="90" t="b">
        <f t="shared" si="33"/>
        <v>0</v>
      </c>
      <c r="BA26" s="90" t="b">
        <f t="shared" si="34"/>
        <v>0</v>
      </c>
      <c r="BB26" s="64" t="b">
        <f t="shared" si="35"/>
        <v>0</v>
      </c>
      <c r="BC26" s="92">
        <f t="shared" si="36"/>
        <v>0</v>
      </c>
      <c r="BD26" s="90">
        <f t="shared" si="37"/>
        <v>0.05038004149759624</v>
      </c>
      <c r="BE26" s="89"/>
      <c r="BF26" s="90">
        <f t="shared" si="47"/>
        <v>0.05038004149759624</v>
      </c>
      <c r="BG26" s="90"/>
      <c r="BH26" s="89"/>
      <c r="BI26" s="50"/>
      <c r="BJ26" s="50"/>
      <c r="BK26" s="51"/>
      <c r="BL26" s="51"/>
      <c r="BM26" s="50"/>
      <c r="BN26" s="51"/>
      <c r="BO26" s="51"/>
      <c r="BP26" s="51"/>
      <c r="BQ26" s="51"/>
      <c r="BR26" s="50"/>
      <c r="BS26" s="54"/>
      <c r="BT26" s="54"/>
      <c r="BU26" s="54"/>
      <c r="BV26" s="43"/>
      <c r="BW26" s="56"/>
      <c r="BX26" s="43"/>
      <c r="BY26" s="43"/>
      <c r="BZ26" s="43"/>
      <c r="CA26" s="43"/>
      <c r="CB26" s="43"/>
      <c r="CC26" s="4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</row>
    <row r="27" spans="1:203" ht="12.75">
      <c r="A27" s="64"/>
      <c r="B27" s="64"/>
      <c r="C27" s="64"/>
      <c r="D27" s="64"/>
      <c r="E27" s="64"/>
      <c r="F27" s="64">
        <f t="shared" si="48"/>
        <v>22</v>
      </c>
      <c r="G27" s="64">
        <f t="shared" si="38"/>
        <v>0.88</v>
      </c>
      <c r="H27" s="75">
        <v>1</v>
      </c>
      <c r="I27" s="64">
        <f t="shared" si="0"/>
        <v>-12</v>
      </c>
      <c r="J27" s="64">
        <f t="shared" si="1"/>
        <v>31.4944</v>
      </c>
      <c r="K27" s="64">
        <f t="shared" si="39"/>
        <v>4.245279731654913</v>
      </c>
      <c r="L27" s="64">
        <f t="shared" si="2"/>
        <v>8.122639865827455</v>
      </c>
      <c r="M27" s="64">
        <f t="shared" si="40"/>
        <v>0.88</v>
      </c>
      <c r="N27" s="64">
        <f t="shared" si="3"/>
        <v>0.7860203857802704</v>
      </c>
      <c r="O27" s="64">
        <f t="shared" si="4"/>
        <v>1.2870934782341141</v>
      </c>
      <c r="P27" s="64">
        <f t="shared" si="5"/>
        <v>5.28</v>
      </c>
      <c r="Q27" s="64">
        <f t="shared" si="6"/>
        <v>0</v>
      </c>
      <c r="R27" s="64">
        <f t="shared" si="7"/>
        <v>0</v>
      </c>
      <c r="S27" s="93">
        <f t="shared" si="41"/>
        <v>6.567093478234114</v>
      </c>
      <c r="T27" s="94">
        <f t="shared" si="49"/>
        <v>0.88</v>
      </c>
      <c r="U27" s="95">
        <f t="shared" si="42"/>
        <v>6.567093478234114</v>
      </c>
      <c r="V27" s="64"/>
      <c r="W27" s="75">
        <f t="shared" si="43"/>
        <v>4.400000000000001</v>
      </c>
      <c r="X27" s="86">
        <f t="shared" si="44"/>
        <v>-0.020153846153845974</v>
      </c>
      <c r="Y27" s="64">
        <f t="shared" si="8"/>
        <v>1.0000591715976332</v>
      </c>
      <c r="Z27" s="64">
        <f t="shared" si="9"/>
        <v>-12.046463905325444</v>
      </c>
      <c r="AA27" s="64">
        <f t="shared" si="10"/>
        <v>36.12132925443787</v>
      </c>
      <c r="AB27" s="64">
        <f t="shared" si="45"/>
        <v>0.7895734148987043</v>
      </c>
      <c r="AC27" s="64">
        <f t="shared" si="46"/>
        <v>6.417638918164253</v>
      </c>
      <c r="AD27" s="64">
        <f t="shared" si="11"/>
        <v>0.029212607062801953</v>
      </c>
      <c r="AE27" s="64">
        <f t="shared" si="12"/>
        <v>0.13966660387745544</v>
      </c>
      <c r="AF27" s="86">
        <f t="shared" si="13"/>
        <v>0.026000000000000016</v>
      </c>
      <c r="AG27" s="64">
        <f t="shared" si="14"/>
        <v>0.6284997174485495</v>
      </c>
      <c r="AH27" s="64">
        <f t="shared" si="15"/>
        <v>0.6210290713102447</v>
      </c>
      <c r="AI27" s="87">
        <f t="shared" si="16"/>
        <v>0.007470646138304837</v>
      </c>
      <c r="AJ27" s="87">
        <f t="shared" si="17"/>
        <v>0</v>
      </c>
      <c r="AK27" s="88">
        <f t="shared" si="18"/>
        <v>262.6200000000009</v>
      </c>
      <c r="AL27" s="89">
        <f t="shared" si="19"/>
        <v>0</v>
      </c>
      <c r="AM27" s="90">
        <f t="shared" si="20"/>
        <v>256.6200000000009</v>
      </c>
      <c r="AN27" s="89">
        <f t="shared" si="21"/>
        <v>0</v>
      </c>
      <c r="AO27" s="89">
        <f t="shared" si="22"/>
        <v>0.04394000000000021</v>
      </c>
      <c r="AP27" s="91">
        <f t="shared" si="23"/>
        <v>0</v>
      </c>
      <c r="AQ27" s="89">
        <f t="shared" si="24"/>
        <v>0</v>
      </c>
      <c r="AR27" s="90">
        <f t="shared" si="25"/>
        <v>3.0044357976653697</v>
      </c>
      <c r="AS27" s="89">
        <f t="shared" si="26"/>
        <v>0</v>
      </c>
      <c r="AT27" s="90">
        <f t="shared" si="27"/>
        <v>3.00443579766537</v>
      </c>
      <c r="AU27" s="89">
        <f t="shared" si="28"/>
        <v>0</v>
      </c>
      <c r="AV27" s="89">
        <f t="shared" si="29"/>
        <v>0</v>
      </c>
      <c r="AW27" s="89">
        <f t="shared" si="30"/>
        <v>0</v>
      </c>
      <c r="AX27" s="89">
        <f t="shared" si="31"/>
        <v>0</v>
      </c>
      <c r="AY27" s="89">
        <f t="shared" si="32"/>
        <v>0</v>
      </c>
      <c r="AZ27" s="90" t="b">
        <f t="shared" si="33"/>
        <v>0</v>
      </c>
      <c r="BA27" s="90" t="b">
        <f t="shared" si="34"/>
        <v>0</v>
      </c>
      <c r="BB27" s="64" t="b">
        <f t="shared" si="35"/>
        <v>0</v>
      </c>
      <c r="BC27" s="92">
        <f t="shared" si="36"/>
        <v>0</v>
      </c>
      <c r="BD27" s="90">
        <f t="shared" si="37"/>
        <v>0.051410646138305045</v>
      </c>
      <c r="BE27" s="89"/>
      <c r="BF27" s="90">
        <f t="shared" si="47"/>
        <v>0.051410646138305045</v>
      </c>
      <c r="BG27" s="90"/>
      <c r="BH27" s="89"/>
      <c r="BI27" s="50"/>
      <c r="BJ27" s="50"/>
      <c r="BK27" s="51"/>
      <c r="BL27" s="51"/>
      <c r="BM27" s="50"/>
      <c r="BN27" s="51"/>
      <c r="BO27" s="51"/>
      <c r="BP27" s="51"/>
      <c r="BQ27" s="51"/>
      <c r="BR27" s="50"/>
      <c r="BS27" s="54"/>
      <c r="BT27" s="54"/>
      <c r="BU27" s="54"/>
      <c r="BV27" s="43"/>
      <c r="BW27" s="56"/>
      <c r="BX27" s="43"/>
      <c r="BY27" s="43"/>
      <c r="BZ27" s="43"/>
      <c r="CA27" s="43"/>
      <c r="CB27" s="43"/>
      <c r="CC27" s="4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</row>
    <row r="28" spans="1:203" ht="12.75">
      <c r="A28" s="64"/>
      <c r="B28" s="64"/>
      <c r="C28" s="64"/>
      <c r="D28" s="64"/>
      <c r="E28" s="64"/>
      <c r="F28" s="64">
        <f t="shared" si="48"/>
        <v>23</v>
      </c>
      <c r="G28" s="64">
        <f t="shared" si="38"/>
        <v>0.92</v>
      </c>
      <c r="H28" s="75">
        <v>1</v>
      </c>
      <c r="I28" s="64">
        <f t="shared" si="0"/>
        <v>-12</v>
      </c>
      <c r="J28" s="64">
        <f t="shared" si="1"/>
        <v>31.326400000000003</v>
      </c>
      <c r="K28" s="64">
        <f t="shared" si="39"/>
        <v>4.32370211739893</v>
      </c>
      <c r="L28" s="64">
        <f t="shared" si="2"/>
        <v>8.161851058699465</v>
      </c>
      <c r="M28" s="64">
        <f t="shared" si="40"/>
        <v>0.92</v>
      </c>
      <c r="N28" s="64">
        <f t="shared" si="3"/>
        <v>0.804691839925237</v>
      </c>
      <c r="O28" s="64">
        <f t="shared" si="4"/>
        <v>1.3727881786161227</v>
      </c>
      <c r="P28" s="64">
        <f t="shared" si="5"/>
        <v>5.5200000000000005</v>
      </c>
      <c r="Q28" s="64">
        <f t="shared" si="6"/>
        <v>0</v>
      </c>
      <c r="R28" s="64">
        <f t="shared" si="7"/>
        <v>0</v>
      </c>
      <c r="S28" s="93">
        <f t="shared" si="41"/>
        <v>6.892788178616123</v>
      </c>
      <c r="T28" s="94">
        <f t="shared" si="49"/>
        <v>0.92</v>
      </c>
      <c r="U28" s="95">
        <f t="shared" si="42"/>
        <v>6.892788178616123</v>
      </c>
      <c r="V28" s="64"/>
      <c r="W28" s="75">
        <f t="shared" si="43"/>
        <v>4.600000000000001</v>
      </c>
      <c r="X28" s="86">
        <f t="shared" si="44"/>
        <v>-0.019881118881118702</v>
      </c>
      <c r="Y28" s="64">
        <f t="shared" si="8"/>
        <v>1.0000591715976332</v>
      </c>
      <c r="Z28" s="64">
        <f t="shared" si="9"/>
        <v>-12.046459709521248</v>
      </c>
      <c r="AA28" s="64">
        <f t="shared" si="10"/>
        <v>36.119681972174675</v>
      </c>
      <c r="AB28" s="64">
        <f t="shared" si="45"/>
        <v>0.7936715991307997</v>
      </c>
      <c r="AC28" s="64">
        <f t="shared" si="46"/>
        <v>6.419685791261451</v>
      </c>
      <c r="AD28" s="64">
        <f t="shared" si="11"/>
        <v>0.029501079513199982</v>
      </c>
      <c r="AE28" s="64">
        <f t="shared" si="12"/>
        <v>0.14035563750022417</v>
      </c>
      <c r="AF28" s="86">
        <f t="shared" si="13"/>
        <v>0.026272727272727288</v>
      </c>
      <c r="AG28" s="64">
        <f t="shared" si="14"/>
        <v>0.6316003687510088</v>
      </c>
      <c r="AH28" s="64">
        <f t="shared" si="15"/>
        <v>0.6240155417251515</v>
      </c>
      <c r="AI28" s="87">
        <f t="shared" si="16"/>
        <v>0.007584827025857277</v>
      </c>
      <c r="AJ28" s="87">
        <f t="shared" si="17"/>
        <v>0</v>
      </c>
      <c r="AK28" s="88">
        <f t="shared" si="18"/>
        <v>262.58454545454634</v>
      </c>
      <c r="AL28" s="89">
        <f t="shared" si="19"/>
        <v>0</v>
      </c>
      <c r="AM28" s="90">
        <f t="shared" si="20"/>
        <v>256.58454545454634</v>
      </c>
      <c r="AN28" s="89">
        <f t="shared" si="21"/>
        <v>0</v>
      </c>
      <c r="AO28" s="89">
        <f t="shared" si="22"/>
        <v>0.0448666528925622</v>
      </c>
      <c r="AP28" s="91">
        <f t="shared" si="23"/>
        <v>0</v>
      </c>
      <c r="AQ28" s="89">
        <f t="shared" si="24"/>
        <v>0</v>
      </c>
      <c r="AR28" s="90">
        <f t="shared" si="25"/>
        <v>3.004849663954723</v>
      </c>
      <c r="AS28" s="89">
        <f t="shared" si="26"/>
        <v>0</v>
      </c>
      <c r="AT28" s="90">
        <f t="shared" si="27"/>
        <v>3.0048496639547224</v>
      </c>
      <c r="AU28" s="89">
        <f t="shared" si="28"/>
        <v>0</v>
      </c>
      <c r="AV28" s="89">
        <f t="shared" si="29"/>
        <v>0</v>
      </c>
      <c r="AW28" s="89">
        <f t="shared" si="30"/>
        <v>0</v>
      </c>
      <c r="AX28" s="89">
        <f t="shared" si="31"/>
        <v>0</v>
      </c>
      <c r="AY28" s="89">
        <f t="shared" si="32"/>
        <v>0</v>
      </c>
      <c r="AZ28" s="90" t="b">
        <f t="shared" si="33"/>
        <v>0</v>
      </c>
      <c r="BA28" s="90" t="b">
        <f t="shared" si="34"/>
        <v>0</v>
      </c>
      <c r="BB28" s="64" t="b">
        <f t="shared" si="35"/>
        <v>0</v>
      </c>
      <c r="BC28" s="92">
        <f t="shared" si="36"/>
        <v>0</v>
      </c>
      <c r="BD28" s="90">
        <f t="shared" si="37"/>
        <v>0.052451479918419475</v>
      </c>
      <c r="BE28" s="89"/>
      <c r="BF28" s="90">
        <f t="shared" si="47"/>
        <v>0.052451479918419475</v>
      </c>
      <c r="BG28" s="90"/>
      <c r="BH28" s="89"/>
      <c r="BI28" s="50"/>
      <c r="BJ28" s="50"/>
      <c r="BK28" s="51"/>
      <c r="BL28" s="51"/>
      <c r="BM28" s="50"/>
      <c r="BN28" s="51"/>
      <c r="BO28" s="51"/>
      <c r="BP28" s="51"/>
      <c r="BQ28" s="51"/>
      <c r="BR28" s="50"/>
      <c r="BS28" s="54"/>
      <c r="BT28" s="54"/>
      <c r="BU28" s="54"/>
      <c r="BV28" s="43"/>
      <c r="BW28" s="56"/>
      <c r="BX28" s="43"/>
      <c r="BY28" s="43"/>
      <c r="BZ28" s="43"/>
      <c r="CA28" s="43"/>
      <c r="CB28" s="43"/>
      <c r="CC28" s="4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</row>
    <row r="29" spans="1:203" ht="12.75">
      <c r="A29" s="64"/>
      <c r="B29" s="64"/>
      <c r="C29" s="64"/>
      <c r="D29" s="64"/>
      <c r="E29" s="64"/>
      <c r="F29" s="64">
        <f t="shared" si="48"/>
        <v>24</v>
      </c>
      <c r="G29" s="64">
        <f t="shared" si="38"/>
        <v>0.96</v>
      </c>
      <c r="H29" s="75">
        <v>1</v>
      </c>
      <c r="I29" s="64">
        <f t="shared" si="0"/>
        <v>-12</v>
      </c>
      <c r="J29" s="64">
        <f t="shared" si="1"/>
        <v>31.1616</v>
      </c>
      <c r="K29" s="64">
        <f t="shared" si="39"/>
        <v>4.399272667157606</v>
      </c>
      <c r="L29" s="64">
        <f t="shared" si="2"/>
        <v>8.199636333578804</v>
      </c>
      <c r="M29" s="64">
        <f t="shared" si="40"/>
        <v>0.96</v>
      </c>
      <c r="N29" s="64">
        <f t="shared" si="3"/>
        <v>0.8230336921349759</v>
      </c>
      <c r="O29" s="64">
        <f t="shared" si="4"/>
        <v>1.4600225543570127</v>
      </c>
      <c r="P29" s="64">
        <f t="shared" si="5"/>
        <v>5.76</v>
      </c>
      <c r="Q29" s="64">
        <f t="shared" si="6"/>
        <v>0</v>
      </c>
      <c r="R29" s="64">
        <f t="shared" si="7"/>
        <v>0</v>
      </c>
      <c r="S29" s="93">
        <f t="shared" si="41"/>
        <v>7.220022554357012</v>
      </c>
      <c r="T29" s="94">
        <f t="shared" si="49"/>
        <v>0.96</v>
      </c>
      <c r="U29" s="95">
        <f t="shared" si="42"/>
        <v>7.220022554357012</v>
      </c>
      <c r="V29" s="64"/>
      <c r="W29" s="75">
        <f t="shared" si="43"/>
        <v>4.800000000000002</v>
      </c>
      <c r="X29" s="86">
        <f t="shared" si="44"/>
        <v>-0.019608391608391427</v>
      </c>
      <c r="Y29" s="64">
        <f t="shared" si="8"/>
        <v>1.0000591715976332</v>
      </c>
      <c r="Z29" s="64">
        <f t="shared" si="9"/>
        <v>-12.046455513717053</v>
      </c>
      <c r="AA29" s="64">
        <f t="shared" si="10"/>
        <v>36.11803483867182</v>
      </c>
      <c r="AB29" s="64">
        <f t="shared" si="45"/>
        <v>0.7977483575524267</v>
      </c>
      <c r="AC29" s="64">
        <f t="shared" si="46"/>
        <v>6.421721952087278</v>
      </c>
      <c r="AD29" s="64">
        <f t="shared" si="11"/>
        <v>0.029789469561510535</v>
      </c>
      <c r="AE29" s="64">
        <f t="shared" si="12"/>
        <v>0.14104113163620613</v>
      </c>
      <c r="AF29" s="86">
        <f t="shared" si="13"/>
        <v>0.026545454545454563</v>
      </c>
      <c r="AG29" s="64">
        <f t="shared" si="14"/>
        <v>0.6346850923629276</v>
      </c>
      <c r="AH29" s="64">
        <f t="shared" si="15"/>
        <v>0.6269855276759406</v>
      </c>
      <c r="AI29" s="87">
        <f t="shared" si="16"/>
        <v>0.007699564686986959</v>
      </c>
      <c r="AJ29" s="87">
        <f t="shared" si="17"/>
        <v>0</v>
      </c>
      <c r="AK29" s="88">
        <f t="shared" si="18"/>
        <v>262.54909090909183</v>
      </c>
      <c r="AL29" s="89">
        <f t="shared" si="19"/>
        <v>0</v>
      </c>
      <c r="AM29" s="90">
        <f t="shared" si="20"/>
        <v>256.54909090909183</v>
      </c>
      <c r="AN29" s="89">
        <f t="shared" si="21"/>
        <v>0</v>
      </c>
      <c r="AO29" s="89">
        <f t="shared" si="22"/>
        <v>0.04580297520661179</v>
      </c>
      <c r="AP29" s="91">
        <f t="shared" si="23"/>
        <v>0</v>
      </c>
      <c r="AQ29" s="89">
        <f t="shared" si="24"/>
        <v>0</v>
      </c>
      <c r="AR29" s="90">
        <f t="shared" si="25"/>
        <v>3.0052635302440756</v>
      </c>
      <c r="AS29" s="89">
        <f t="shared" si="26"/>
        <v>0</v>
      </c>
      <c r="AT29" s="90">
        <f t="shared" si="27"/>
        <v>3.0052635302440756</v>
      </c>
      <c r="AU29" s="89">
        <f t="shared" si="28"/>
        <v>0</v>
      </c>
      <c r="AV29" s="89">
        <f t="shared" si="29"/>
        <v>0</v>
      </c>
      <c r="AW29" s="89">
        <f t="shared" si="30"/>
        <v>0</v>
      </c>
      <c r="AX29" s="89">
        <f t="shared" si="31"/>
        <v>0</v>
      </c>
      <c r="AY29" s="89">
        <f t="shared" si="32"/>
        <v>0</v>
      </c>
      <c r="AZ29" s="90" t="b">
        <f t="shared" si="33"/>
        <v>0</v>
      </c>
      <c r="BA29" s="90" t="b">
        <f t="shared" si="34"/>
        <v>0</v>
      </c>
      <c r="BB29" s="64" t="b">
        <f t="shared" si="35"/>
        <v>0</v>
      </c>
      <c r="BC29" s="92">
        <f t="shared" si="36"/>
        <v>0</v>
      </c>
      <c r="BD29" s="90">
        <f t="shared" si="37"/>
        <v>0.05350253989359875</v>
      </c>
      <c r="BE29" s="89"/>
      <c r="BF29" s="90">
        <f t="shared" si="47"/>
        <v>0.05350253989359875</v>
      </c>
      <c r="BG29" s="90"/>
      <c r="BH29" s="89"/>
      <c r="BI29" s="50"/>
      <c r="BJ29" s="50"/>
      <c r="BK29" s="51"/>
      <c r="BL29" s="51"/>
      <c r="BM29" s="50"/>
      <c r="BN29" s="51"/>
      <c r="BO29" s="51"/>
      <c r="BP29" s="51"/>
      <c r="BQ29" s="51"/>
      <c r="BR29" s="50"/>
      <c r="BS29" s="54"/>
      <c r="BT29" s="54"/>
      <c r="BU29" s="54"/>
      <c r="BV29" s="43"/>
      <c r="BW29" s="56"/>
      <c r="BX29" s="43"/>
      <c r="BY29" s="43"/>
      <c r="BZ29" s="43"/>
      <c r="CA29" s="43"/>
      <c r="CB29" s="43"/>
      <c r="CC29" s="4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</row>
    <row r="30" spans="1:203" ht="12.75">
      <c r="A30" s="64"/>
      <c r="B30" s="64"/>
      <c r="C30" s="64"/>
      <c r="D30" s="64"/>
      <c r="E30" s="64"/>
      <c r="F30" s="64">
        <f t="shared" si="48"/>
        <v>25</v>
      </c>
      <c r="G30" s="64">
        <f t="shared" si="38"/>
        <v>1</v>
      </c>
      <c r="H30" s="75">
        <v>1</v>
      </c>
      <c r="I30" s="64">
        <f t="shared" si="0"/>
        <v>-12</v>
      </c>
      <c r="J30" s="64">
        <f t="shared" si="1"/>
        <v>31</v>
      </c>
      <c r="K30" s="64">
        <f t="shared" si="39"/>
        <v>4.47213595499958</v>
      </c>
      <c r="L30" s="64">
        <f t="shared" si="2"/>
        <v>8.23606797749979</v>
      </c>
      <c r="M30" s="64">
        <f t="shared" si="40"/>
        <v>1</v>
      </c>
      <c r="N30" s="64">
        <f t="shared" si="3"/>
        <v>0.8410686705679302</v>
      </c>
      <c r="O30" s="64">
        <f t="shared" si="4"/>
        <v>1.5487410400558965</v>
      </c>
      <c r="P30" s="64">
        <f t="shared" si="5"/>
        <v>6</v>
      </c>
      <c r="Q30" s="64">
        <f t="shared" si="6"/>
        <v>0</v>
      </c>
      <c r="R30" s="64">
        <f t="shared" si="7"/>
        <v>0</v>
      </c>
      <c r="S30" s="93">
        <f t="shared" si="41"/>
        <v>7.548741040055896</v>
      </c>
      <c r="T30" s="94">
        <f t="shared" si="49"/>
        <v>1</v>
      </c>
      <c r="U30" s="95">
        <f t="shared" si="42"/>
        <v>7.548741040055896</v>
      </c>
      <c r="V30" s="64"/>
      <c r="W30" s="75">
        <f t="shared" si="43"/>
        <v>5.000000000000002</v>
      </c>
      <c r="X30" s="86">
        <f t="shared" si="44"/>
        <v>-0.01933566433566415</v>
      </c>
      <c r="Y30" s="64">
        <f t="shared" si="8"/>
        <v>1.0000591715976332</v>
      </c>
      <c r="Z30" s="64">
        <f t="shared" si="9"/>
        <v>-12.046451317912856</v>
      </c>
      <c r="AA30" s="64">
        <f t="shared" si="10"/>
        <v>36.11638785392928</v>
      </c>
      <c r="AB30" s="64">
        <f t="shared" si="45"/>
        <v>0.801804016981086</v>
      </c>
      <c r="AC30" s="64">
        <f t="shared" si="46"/>
        <v>6.423747564040814</v>
      </c>
      <c r="AD30" s="64">
        <f t="shared" si="11"/>
        <v>0.030077778464649624</v>
      </c>
      <c r="AE30" s="64">
        <f t="shared" si="12"/>
        <v>0.14172314059445723</v>
      </c>
      <c r="AF30" s="86">
        <f t="shared" si="13"/>
        <v>0.026818181818181838</v>
      </c>
      <c r="AG30" s="64">
        <f t="shared" si="14"/>
        <v>0.6377541326750575</v>
      </c>
      <c r="AH30" s="64">
        <f t="shared" si="15"/>
        <v>0.6299392764524915</v>
      </c>
      <c r="AI30" s="87">
        <f t="shared" si="16"/>
        <v>0.007814856222566058</v>
      </c>
      <c r="AJ30" s="87">
        <f t="shared" si="17"/>
        <v>0</v>
      </c>
      <c r="AK30" s="88">
        <f t="shared" si="18"/>
        <v>262.51363636363726</v>
      </c>
      <c r="AL30" s="89">
        <f t="shared" si="19"/>
        <v>0</v>
      </c>
      <c r="AM30" s="90">
        <f t="shared" si="20"/>
        <v>256.51363636363726</v>
      </c>
      <c r="AN30" s="89">
        <f t="shared" si="21"/>
        <v>0</v>
      </c>
      <c r="AO30" s="89">
        <f t="shared" si="22"/>
        <v>0.046748966942149</v>
      </c>
      <c r="AP30" s="91">
        <f t="shared" si="23"/>
        <v>0</v>
      </c>
      <c r="AQ30" s="89">
        <f t="shared" si="24"/>
        <v>0</v>
      </c>
      <c r="AR30" s="90">
        <f t="shared" si="25"/>
        <v>3.005677396533428</v>
      </c>
      <c r="AS30" s="89">
        <f t="shared" si="26"/>
        <v>0</v>
      </c>
      <c r="AT30" s="90">
        <f t="shared" si="27"/>
        <v>3.005677396533428</v>
      </c>
      <c r="AU30" s="89">
        <f t="shared" si="28"/>
        <v>0</v>
      </c>
      <c r="AV30" s="89">
        <f t="shared" si="29"/>
        <v>0</v>
      </c>
      <c r="AW30" s="89">
        <f t="shared" si="30"/>
        <v>0</v>
      </c>
      <c r="AX30" s="89">
        <f t="shared" si="31"/>
        <v>0</v>
      </c>
      <c r="AY30" s="89">
        <f t="shared" si="32"/>
        <v>0</v>
      </c>
      <c r="AZ30" s="90" t="b">
        <f t="shared" si="33"/>
        <v>0</v>
      </c>
      <c r="BA30" s="90" t="b">
        <f t="shared" si="34"/>
        <v>0</v>
      </c>
      <c r="BB30" s="64" t="b">
        <f t="shared" si="35"/>
        <v>0</v>
      </c>
      <c r="BC30" s="92">
        <f t="shared" si="36"/>
        <v>0</v>
      </c>
      <c r="BD30" s="90">
        <f t="shared" si="37"/>
        <v>0.05456382316471506</v>
      </c>
      <c r="BE30" s="89"/>
      <c r="BF30" s="90">
        <f t="shared" si="47"/>
        <v>0.05456382316471506</v>
      </c>
      <c r="BG30" s="90"/>
      <c r="BH30" s="89"/>
      <c r="BI30" s="50"/>
      <c r="BJ30" s="50"/>
      <c r="BK30" s="51"/>
      <c r="BL30" s="51"/>
      <c r="BM30" s="50"/>
      <c r="BN30" s="51"/>
      <c r="BO30" s="51"/>
      <c r="BP30" s="51"/>
      <c r="BQ30" s="51"/>
      <c r="BR30" s="50"/>
      <c r="BS30" s="54"/>
      <c r="BT30" s="54"/>
      <c r="BU30" s="54"/>
      <c r="BV30" s="43"/>
      <c r="BW30" s="56"/>
      <c r="BX30" s="43"/>
      <c r="BY30" s="43"/>
      <c r="BZ30" s="43"/>
      <c r="CA30" s="43"/>
      <c r="CB30" s="43"/>
      <c r="CC30" s="4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</row>
    <row r="31" spans="1:203" ht="12.75">
      <c r="A31" s="64"/>
      <c r="B31" s="64"/>
      <c r="C31" s="64"/>
      <c r="D31" s="64"/>
      <c r="E31" s="64"/>
      <c r="F31" s="64">
        <f t="shared" si="48"/>
        <v>26</v>
      </c>
      <c r="G31" s="64">
        <f t="shared" si="38"/>
        <v>1.04</v>
      </c>
      <c r="H31" s="75">
        <v>1</v>
      </c>
      <c r="I31" s="64">
        <f t="shared" si="0"/>
        <v>-12</v>
      </c>
      <c r="J31" s="64">
        <f t="shared" si="1"/>
        <v>30.8416</v>
      </c>
      <c r="K31" s="64">
        <f t="shared" si="39"/>
        <v>4.542422261305085</v>
      </c>
      <c r="L31" s="64">
        <f t="shared" si="2"/>
        <v>8.271211130652542</v>
      </c>
      <c r="M31" s="64">
        <f t="shared" si="40"/>
        <v>1.04</v>
      </c>
      <c r="N31" s="64">
        <f t="shared" si="3"/>
        <v>0.8588172718823294</v>
      </c>
      <c r="O31" s="64">
        <f t="shared" si="4"/>
        <v>1.6388908154309911</v>
      </c>
      <c r="P31" s="64">
        <f t="shared" si="5"/>
        <v>6.24</v>
      </c>
      <c r="Q31" s="64">
        <f t="shared" si="6"/>
        <v>0</v>
      </c>
      <c r="R31" s="64">
        <f t="shared" si="7"/>
        <v>0</v>
      </c>
      <c r="S31" s="93">
        <f t="shared" si="41"/>
        <v>7.878890815430991</v>
      </c>
      <c r="T31" s="94">
        <f t="shared" si="49"/>
        <v>1.04</v>
      </c>
      <c r="U31" s="95">
        <f t="shared" si="42"/>
        <v>7.878890815430991</v>
      </c>
      <c r="V31" s="64"/>
      <c r="W31" s="75">
        <f t="shared" si="43"/>
        <v>5.200000000000002</v>
      </c>
      <c r="X31" s="86">
        <f t="shared" si="44"/>
        <v>-0.01906293706293688</v>
      </c>
      <c r="Y31" s="64">
        <f t="shared" si="8"/>
        <v>1.0000591715976332</v>
      </c>
      <c r="Z31" s="64">
        <f t="shared" si="9"/>
        <v>-12.04644712210866</v>
      </c>
      <c r="AA31" s="64">
        <f t="shared" si="10"/>
        <v>36.11474101794709</v>
      </c>
      <c r="AB31" s="64">
        <f t="shared" si="45"/>
        <v>0.8058388959805198</v>
      </c>
      <c r="AC31" s="64">
        <f t="shared" si="46"/>
        <v>6.425762786394507</v>
      </c>
      <c r="AD31" s="64">
        <f t="shared" si="11"/>
        <v>0.030366007447789917</v>
      </c>
      <c r="AE31" s="64">
        <f t="shared" si="12"/>
        <v>0.14240171731087425</v>
      </c>
      <c r="AF31" s="86">
        <f t="shared" si="13"/>
        <v>0.02709090909090911</v>
      </c>
      <c r="AG31" s="64">
        <f t="shared" si="14"/>
        <v>0.6408077278989341</v>
      </c>
      <c r="AH31" s="64">
        <f t="shared" si="15"/>
        <v>0.632877029121507</v>
      </c>
      <c r="AI31" s="87">
        <f t="shared" si="16"/>
        <v>0.007930698777427136</v>
      </c>
      <c r="AJ31" s="87">
        <f t="shared" si="17"/>
        <v>0</v>
      </c>
      <c r="AK31" s="88">
        <f t="shared" si="18"/>
        <v>262.47818181818275</v>
      </c>
      <c r="AL31" s="89">
        <f t="shared" si="19"/>
        <v>0</v>
      </c>
      <c r="AM31" s="90">
        <f t="shared" si="20"/>
        <v>256.47818181818275</v>
      </c>
      <c r="AN31" s="89">
        <f t="shared" si="21"/>
        <v>0</v>
      </c>
      <c r="AO31" s="89">
        <f t="shared" si="22"/>
        <v>0.04770462809917379</v>
      </c>
      <c r="AP31" s="91">
        <f t="shared" si="23"/>
        <v>0</v>
      </c>
      <c r="AQ31" s="89">
        <f t="shared" si="24"/>
        <v>0</v>
      </c>
      <c r="AR31" s="90">
        <f t="shared" si="25"/>
        <v>3.0060912628227805</v>
      </c>
      <c r="AS31" s="89">
        <f t="shared" si="26"/>
        <v>0</v>
      </c>
      <c r="AT31" s="90">
        <f t="shared" si="27"/>
        <v>3.0060912628227805</v>
      </c>
      <c r="AU31" s="89">
        <f t="shared" si="28"/>
        <v>0</v>
      </c>
      <c r="AV31" s="89">
        <f t="shared" si="29"/>
        <v>0</v>
      </c>
      <c r="AW31" s="89">
        <f t="shared" si="30"/>
        <v>0</v>
      </c>
      <c r="AX31" s="89">
        <f t="shared" si="31"/>
        <v>0</v>
      </c>
      <c r="AY31" s="89">
        <f t="shared" si="32"/>
        <v>0</v>
      </c>
      <c r="AZ31" s="90" t="b">
        <f t="shared" si="33"/>
        <v>0</v>
      </c>
      <c r="BA31" s="90" t="b">
        <f t="shared" si="34"/>
        <v>0</v>
      </c>
      <c r="BB31" s="64" t="b">
        <f t="shared" si="35"/>
        <v>0</v>
      </c>
      <c r="BC31" s="92">
        <f t="shared" si="36"/>
        <v>0</v>
      </c>
      <c r="BD31" s="90">
        <f t="shared" si="37"/>
        <v>0.05563532687660093</v>
      </c>
      <c r="BE31" s="89"/>
      <c r="BF31" s="90">
        <f t="shared" si="47"/>
        <v>0.05563532687660093</v>
      </c>
      <c r="BG31" s="90"/>
      <c r="BH31" s="89"/>
      <c r="BI31" s="50"/>
      <c r="BJ31" s="50"/>
      <c r="BK31" s="51"/>
      <c r="BL31" s="51"/>
      <c r="BM31" s="50"/>
      <c r="BN31" s="51"/>
      <c r="BO31" s="51"/>
      <c r="BP31" s="51"/>
      <c r="BQ31" s="51"/>
      <c r="BR31" s="50"/>
      <c r="BS31" s="54"/>
      <c r="BT31" s="54"/>
      <c r="BU31" s="54"/>
      <c r="BV31" s="43"/>
      <c r="BW31" s="56"/>
      <c r="BX31" s="43"/>
      <c r="BY31" s="43"/>
      <c r="BZ31" s="43"/>
      <c r="CA31" s="43"/>
      <c r="CB31" s="43"/>
      <c r="CC31" s="4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</row>
    <row r="32" spans="1:203" ht="12.75">
      <c r="A32" s="64"/>
      <c r="B32" s="64"/>
      <c r="C32" s="64"/>
      <c r="D32" s="64"/>
      <c r="E32" s="64"/>
      <c r="F32" s="64">
        <f t="shared" si="48"/>
        <v>27</v>
      </c>
      <c r="G32" s="64">
        <f t="shared" si="38"/>
        <v>1.08</v>
      </c>
      <c r="H32" s="75">
        <v>1</v>
      </c>
      <c r="I32" s="64">
        <f t="shared" si="0"/>
        <v>-12</v>
      </c>
      <c r="J32" s="64">
        <f t="shared" si="1"/>
        <v>30.686400000000003</v>
      </c>
      <c r="K32" s="64">
        <f>IF((I32^2-4*H32*J32)&gt;=0,(I32^2-4*H32*J32)^0.5,0)</f>
        <v>4.61024945095165</v>
      </c>
      <c r="L32" s="64">
        <f t="shared" si="2"/>
        <v>8.305124725475824</v>
      </c>
      <c r="M32" s="64">
        <f t="shared" si="40"/>
        <v>1.08</v>
      </c>
      <c r="N32" s="64">
        <f t="shared" si="3"/>
        <v>0.8762980611683405</v>
      </c>
      <c r="O32" s="64">
        <f t="shared" si="4"/>
        <v>1.7304215388007407</v>
      </c>
      <c r="P32" s="64">
        <f t="shared" si="5"/>
        <v>6.48</v>
      </c>
      <c r="Q32" s="64">
        <f t="shared" si="6"/>
        <v>0</v>
      </c>
      <c r="R32" s="64">
        <f t="shared" si="7"/>
        <v>0</v>
      </c>
      <c r="S32" s="93">
        <f t="shared" si="41"/>
        <v>8.210421538800741</v>
      </c>
      <c r="T32" s="94">
        <f t="shared" si="49"/>
        <v>1.08</v>
      </c>
      <c r="U32" s="95">
        <f t="shared" si="42"/>
        <v>8.210421538800741</v>
      </c>
      <c r="V32" s="64"/>
      <c r="W32" s="75">
        <f t="shared" si="43"/>
        <v>5.400000000000002</v>
      </c>
      <c r="X32" s="86">
        <f t="shared" si="44"/>
        <v>-0.018790209790209605</v>
      </c>
      <c r="Y32" s="64">
        <f t="shared" si="8"/>
        <v>1.0000591715976332</v>
      </c>
      <c r="Z32" s="64">
        <f t="shared" si="9"/>
        <v>-12.046442926304465</v>
      </c>
      <c r="AA32" s="64">
        <f t="shared" si="10"/>
        <v>36.11309433072522</v>
      </c>
      <c r="AB32" s="64">
        <f t="shared" si="45"/>
        <v>0.8098533051496959</v>
      </c>
      <c r="AC32" s="64">
        <f t="shared" si="46"/>
        <v>6.427767774438651</v>
      </c>
      <c r="AD32" s="64">
        <f t="shared" si="11"/>
        <v>0.03065415770547215</v>
      </c>
      <c r="AE32" s="64">
        <f t="shared" si="12"/>
        <v>0.14307691339630457</v>
      </c>
      <c r="AF32" s="86">
        <f t="shared" si="13"/>
        <v>0.027363636363636385</v>
      </c>
      <c r="AG32" s="64">
        <f t="shared" si="14"/>
        <v>0.6438461102833706</v>
      </c>
      <c r="AH32" s="64">
        <f t="shared" si="15"/>
        <v>0.6357990207440662</v>
      </c>
      <c r="AI32" s="87">
        <f t="shared" si="16"/>
        <v>0.00804708953930433</v>
      </c>
      <c r="AJ32" s="87">
        <f t="shared" si="17"/>
        <v>0</v>
      </c>
      <c r="AK32" s="88">
        <f t="shared" si="18"/>
        <v>262.4427272727282</v>
      </c>
      <c r="AL32" s="89">
        <f t="shared" si="19"/>
        <v>0</v>
      </c>
      <c r="AM32" s="90">
        <f t="shared" si="20"/>
        <v>256.4427272727282</v>
      </c>
      <c r="AN32" s="89">
        <f t="shared" si="21"/>
        <v>0</v>
      </c>
      <c r="AO32" s="89">
        <f t="shared" si="22"/>
        <v>0.048669958677686205</v>
      </c>
      <c r="AP32" s="91">
        <f t="shared" si="23"/>
        <v>0</v>
      </c>
      <c r="AQ32" s="89">
        <f t="shared" si="24"/>
        <v>0</v>
      </c>
      <c r="AR32" s="90">
        <f t="shared" si="25"/>
        <v>3.006505129112133</v>
      </c>
      <c r="AS32" s="89">
        <f t="shared" si="26"/>
        <v>0</v>
      </c>
      <c r="AT32" s="90">
        <f t="shared" si="27"/>
        <v>3.0065051291121336</v>
      </c>
      <c r="AU32" s="89">
        <f t="shared" si="28"/>
        <v>0</v>
      </c>
      <c r="AV32" s="89">
        <f t="shared" si="29"/>
        <v>0</v>
      </c>
      <c r="AW32" s="89">
        <f t="shared" si="30"/>
        <v>0</v>
      </c>
      <c r="AX32" s="89">
        <f t="shared" si="31"/>
        <v>0</v>
      </c>
      <c r="AY32" s="89">
        <f t="shared" si="32"/>
        <v>0</v>
      </c>
      <c r="AZ32" s="90" t="b">
        <f t="shared" si="33"/>
        <v>0</v>
      </c>
      <c r="BA32" s="90" t="b">
        <f t="shared" si="34"/>
        <v>0</v>
      </c>
      <c r="BB32" s="64" t="b">
        <f t="shared" si="35"/>
        <v>0</v>
      </c>
      <c r="BC32" s="92">
        <f t="shared" si="36"/>
        <v>0</v>
      </c>
      <c r="BD32" s="90">
        <f>IF(R&gt;0,(AI32+AJ32+AL32+AN32+AO32+AP32+AQ32+AS32+AU32+AV32+AW32+AX32+AY32),BC32)</f>
        <v>0.056717048216990536</v>
      </c>
      <c r="BE32" s="89"/>
      <c r="BF32" s="90">
        <f t="shared" si="47"/>
        <v>0.056717048216990536</v>
      </c>
      <c r="BG32" s="90"/>
      <c r="BH32" s="89"/>
      <c r="BI32" s="50"/>
      <c r="BJ32" s="50"/>
      <c r="BK32" s="51"/>
      <c r="BL32" s="51"/>
      <c r="BM32" s="50"/>
      <c r="BN32" s="51"/>
      <c r="BO32" s="51"/>
      <c r="BP32" s="51"/>
      <c r="BQ32" s="51"/>
      <c r="BR32" s="50"/>
      <c r="BS32" s="54"/>
      <c r="BT32" s="54"/>
      <c r="BU32" s="54"/>
      <c r="BV32" s="43"/>
      <c r="BW32" s="56"/>
      <c r="BX32" s="43"/>
      <c r="BY32" s="43"/>
      <c r="BZ32" s="43"/>
      <c r="CA32" s="43"/>
      <c r="CB32" s="43"/>
      <c r="CC32" s="4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</row>
    <row r="33" spans="1:203" ht="12.75">
      <c r="A33" s="64"/>
      <c r="B33" s="64"/>
      <c r="C33" s="64"/>
      <c r="D33" s="64"/>
      <c r="E33" s="64"/>
      <c r="F33" s="64">
        <f t="shared" si="48"/>
        <v>28</v>
      </c>
      <c r="G33" s="64">
        <f t="shared" si="38"/>
        <v>1.12</v>
      </c>
      <c r="H33" s="75">
        <v>1</v>
      </c>
      <c r="I33" s="64">
        <f t="shared" si="0"/>
        <v>-12</v>
      </c>
      <c r="J33" s="64">
        <f t="shared" si="1"/>
        <v>30.534399999999998</v>
      </c>
      <c r="K33" s="64">
        <f t="shared" si="39"/>
        <v>4.6757245427847876</v>
      </c>
      <c r="L33" s="64">
        <f t="shared" si="2"/>
        <v>8.337862271392394</v>
      </c>
      <c r="M33" s="64">
        <f t="shared" si="40"/>
        <v>1.12</v>
      </c>
      <c r="N33" s="64">
        <f t="shared" si="3"/>
        <v>0.8935279222305017</v>
      </c>
      <c r="O33" s="64">
        <f t="shared" si="4"/>
        <v>1.823285114928408</v>
      </c>
      <c r="P33" s="64">
        <f t="shared" si="5"/>
        <v>6.720000000000001</v>
      </c>
      <c r="Q33" s="64">
        <f t="shared" si="6"/>
        <v>0</v>
      </c>
      <c r="R33" s="64">
        <f t="shared" si="7"/>
        <v>0</v>
      </c>
      <c r="S33" s="93">
        <f t="shared" si="41"/>
        <v>8.543285114928409</v>
      </c>
      <c r="T33" s="94">
        <f t="shared" si="49"/>
        <v>1.12</v>
      </c>
      <c r="U33" s="95">
        <f t="shared" si="42"/>
        <v>8.543285114928409</v>
      </c>
      <c r="V33" s="64"/>
      <c r="W33" s="75">
        <f t="shared" si="43"/>
        <v>5.600000000000002</v>
      </c>
      <c r="X33" s="86">
        <f t="shared" si="44"/>
        <v>-0.018517482517482333</v>
      </c>
      <c r="Y33" s="64">
        <f t="shared" si="8"/>
        <v>1.0000591715976332</v>
      </c>
      <c r="Z33" s="64">
        <f t="shared" si="9"/>
        <v>-12.046438730500268</v>
      </c>
      <c r="AA33" s="64">
        <f t="shared" si="10"/>
        <v>36.11144779226368</v>
      </c>
      <c r="AB33" s="64">
        <f t="shared" si="45"/>
        <v>0.8138475473989754</v>
      </c>
      <c r="AC33" s="64">
        <f t="shared" si="46"/>
        <v>6.429762679619466</v>
      </c>
      <c r="AD33" s="64">
        <f t="shared" si="11"/>
        <v>0.03094223040266723</v>
      </c>
      <c r="AE33" s="64">
        <f t="shared" si="12"/>
        <v>0.14374877918251805</v>
      </c>
      <c r="AF33" s="86">
        <f t="shared" si="13"/>
        <v>0.027636363636363657</v>
      </c>
      <c r="AG33" s="64">
        <f t="shared" si="14"/>
        <v>0.6468695063213312</v>
      </c>
      <c r="AH33" s="64">
        <f t="shared" si="15"/>
        <v>0.6387054805835479</v>
      </c>
      <c r="AI33" s="87">
        <f t="shared" si="16"/>
        <v>0.008164025737783298</v>
      </c>
      <c r="AJ33" s="87">
        <f t="shared" si="17"/>
        <v>0</v>
      </c>
      <c r="AK33" s="88">
        <f t="shared" si="18"/>
        <v>262.40727272727366</v>
      </c>
      <c r="AL33" s="89">
        <f t="shared" si="19"/>
        <v>0</v>
      </c>
      <c r="AM33" s="90">
        <f t="shared" si="20"/>
        <v>256.4072727272736</v>
      </c>
      <c r="AN33" s="89">
        <f t="shared" si="21"/>
        <v>0</v>
      </c>
      <c r="AO33" s="89">
        <f t="shared" si="22"/>
        <v>0.0496449586776862</v>
      </c>
      <c r="AP33" s="91">
        <f t="shared" si="23"/>
        <v>0</v>
      </c>
      <c r="AQ33" s="89">
        <f t="shared" si="24"/>
        <v>0</v>
      </c>
      <c r="AR33" s="90">
        <f t="shared" si="25"/>
        <v>3.006918995401486</v>
      </c>
      <c r="AS33" s="89">
        <f t="shared" si="26"/>
        <v>0</v>
      </c>
      <c r="AT33" s="90">
        <f t="shared" si="27"/>
        <v>3.006918995401486</v>
      </c>
      <c r="AU33" s="89">
        <f t="shared" si="28"/>
        <v>0</v>
      </c>
      <c r="AV33" s="89">
        <f t="shared" si="29"/>
        <v>0</v>
      </c>
      <c r="AW33" s="89">
        <f t="shared" si="30"/>
        <v>0</v>
      </c>
      <c r="AX33" s="89">
        <f t="shared" si="31"/>
        <v>0</v>
      </c>
      <c r="AY33" s="89">
        <f t="shared" si="32"/>
        <v>0</v>
      </c>
      <c r="AZ33" s="90" t="b">
        <f t="shared" si="33"/>
        <v>0</v>
      </c>
      <c r="BA33" s="90" t="b">
        <f t="shared" si="34"/>
        <v>0</v>
      </c>
      <c r="BB33" s="64" t="b">
        <f t="shared" si="35"/>
        <v>0</v>
      </c>
      <c r="BC33" s="92">
        <f t="shared" si="36"/>
        <v>0</v>
      </c>
      <c r="BD33" s="90">
        <f>IF(R&gt;0,(AI33+AJ33+AL33+AN33+AO33+AP33+AQ33+AS33+AU33+AV33+AW33+AX33+AY33),BC33)</f>
        <v>0.0578089844154695</v>
      </c>
      <c r="BE33" s="89"/>
      <c r="BF33" s="90">
        <f t="shared" si="47"/>
        <v>0.0578089844154695</v>
      </c>
      <c r="BG33" s="90"/>
      <c r="BH33" s="89"/>
      <c r="BI33" s="50"/>
      <c r="BJ33" s="50"/>
      <c r="BK33" s="51"/>
      <c r="BL33" s="51"/>
      <c r="BM33" s="50"/>
      <c r="BN33" s="51"/>
      <c r="BO33" s="51"/>
      <c r="BP33" s="51"/>
      <c r="BQ33" s="51"/>
      <c r="BR33" s="50"/>
      <c r="BS33" s="54"/>
      <c r="BT33" s="54"/>
      <c r="BU33" s="54"/>
      <c r="BV33" s="43"/>
      <c r="BW33" s="56"/>
      <c r="BX33" s="43"/>
      <c r="BY33" s="43"/>
      <c r="BZ33" s="43"/>
      <c r="CA33" s="43"/>
      <c r="CB33" s="43"/>
      <c r="CC33" s="4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</row>
    <row r="34" spans="1:203" ht="12.75">
      <c r="A34" s="64"/>
      <c r="B34" s="64"/>
      <c r="C34" s="64"/>
      <c r="D34" s="64"/>
      <c r="E34" s="64"/>
      <c r="F34" s="64">
        <f t="shared" si="48"/>
        <v>29</v>
      </c>
      <c r="G34" s="64">
        <f t="shared" si="38"/>
        <v>1.16</v>
      </c>
      <c r="H34" s="75">
        <v>1</v>
      </c>
      <c r="I34" s="64">
        <f t="shared" si="0"/>
        <v>-12</v>
      </c>
      <c r="J34" s="64">
        <f t="shared" si="1"/>
        <v>30.385599999999997</v>
      </c>
      <c r="K34" s="64">
        <f t="shared" si="39"/>
        <v>4.738945030278365</v>
      </c>
      <c r="L34" s="64">
        <f t="shared" si="2"/>
        <v>8.369472515139183</v>
      </c>
      <c r="M34" s="64">
        <f t="shared" si="40"/>
        <v>1.16</v>
      </c>
      <c r="N34" s="64">
        <f t="shared" si="3"/>
        <v>0.9105222679129851</v>
      </c>
      <c r="O34" s="64">
        <f t="shared" si="4"/>
        <v>1.917435491680386</v>
      </c>
      <c r="P34" s="64">
        <f t="shared" si="5"/>
        <v>6.959999999999999</v>
      </c>
      <c r="Q34" s="64">
        <f t="shared" si="6"/>
        <v>0</v>
      </c>
      <c r="R34" s="64">
        <f t="shared" si="7"/>
        <v>0</v>
      </c>
      <c r="S34" s="93">
        <f t="shared" si="41"/>
        <v>8.877435491680385</v>
      </c>
      <c r="T34" s="94">
        <f t="shared" si="49"/>
        <v>1.16</v>
      </c>
      <c r="U34" s="95">
        <f t="shared" si="42"/>
        <v>8.877435491680385</v>
      </c>
      <c r="V34" s="64"/>
      <c r="W34" s="75">
        <f t="shared" si="43"/>
        <v>5.8000000000000025</v>
      </c>
      <c r="X34" s="86">
        <f t="shared" si="44"/>
        <v>-0.018244755244755058</v>
      </c>
      <c r="Y34" s="64">
        <f t="shared" si="8"/>
        <v>1.0000591715976332</v>
      </c>
      <c r="Z34" s="64">
        <f t="shared" si="9"/>
        <v>-12.046434534696074</v>
      </c>
      <c r="AA34" s="64">
        <f t="shared" si="10"/>
        <v>36.10980140256247</v>
      </c>
      <c r="AB34" s="64">
        <f t="shared" si="45"/>
        <v>0.817821918214174</v>
      </c>
      <c r="AC34" s="64">
        <f t="shared" si="46"/>
        <v>6.431747649671118</v>
      </c>
      <c r="AD34" s="64">
        <f t="shared" si="11"/>
        <v>0.031230226675791832</v>
      </c>
      <c r="AE34" s="64">
        <f t="shared" si="12"/>
        <v>0.14441736376613856</v>
      </c>
      <c r="AF34" s="86">
        <f t="shared" si="13"/>
        <v>0.027909090909090932</v>
      </c>
      <c r="AG34" s="64">
        <f t="shared" si="14"/>
        <v>0.6498781369476235</v>
      </c>
      <c r="AH34" s="64">
        <f t="shared" si="15"/>
        <v>0.6415966323044486</v>
      </c>
      <c r="AI34" s="87">
        <f t="shared" si="16"/>
        <v>0.008281504643174897</v>
      </c>
      <c r="AJ34" s="87">
        <f t="shared" si="17"/>
        <v>0</v>
      </c>
      <c r="AK34" s="88">
        <f t="shared" si="18"/>
        <v>262.3718181818191</v>
      </c>
      <c r="AL34" s="89">
        <f t="shared" si="19"/>
        <v>0</v>
      </c>
      <c r="AM34" s="90">
        <f t="shared" si="20"/>
        <v>256.3718181818191</v>
      </c>
      <c r="AN34" s="89">
        <f t="shared" si="21"/>
        <v>0</v>
      </c>
      <c r="AO34" s="89">
        <f t="shared" si="22"/>
        <v>0.05062962809917382</v>
      </c>
      <c r="AP34" s="91">
        <f t="shared" si="23"/>
        <v>0</v>
      </c>
      <c r="AQ34" s="89">
        <f t="shared" si="24"/>
        <v>0</v>
      </c>
      <c r="AR34" s="90">
        <f t="shared" si="25"/>
        <v>3.007332861690839</v>
      </c>
      <c r="AS34" s="89">
        <f t="shared" si="26"/>
        <v>0</v>
      </c>
      <c r="AT34" s="90">
        <f t="shared" si="27"/>
        <v>3.0073328616908386</v>
      </c>
      <c r="AU34" s="89">
        <f t="shared" si="28"/>
        <v>0</v>
      </c>
      <c r="AV34" s="89">
        <f t="shared" si="29"/>
        <v>0</v>
      </c>
      <c r="AW34" s="89">
        <f t="shared" si="30"/>
        <v>0</v>
      </c>
      <c r="AX34" s="89">
        <f t="shared" si="31"/>
        <v>0</v>
      </c>
      <c r="AY34" s="89">
        <f t="shared" si="32"/>
        <v>0</v>
      </c>
      <c r="AZ34" s="90" t="b">
        <f t="shared" si="33"/>
        <v>0</v>
      </c>
      <c r="BA34" s="90" t="b">
        <f t="shared" si="34"/>
        <v>0</v>
      </c>
      <c r="BB34" s="64" t="b">
        <f t="shared" si="35"/>
        <v>0</v>
      </c>
      <c r="BC34" s="92">
        <f t="shared" si="36"/>
        <v>0</v>
      </c>
      <c r="BD34" s="90">
        <f>IF(R&gt;0,(AI34+AJ34+AL34+AN34+AO34+AP34+AQ34+AS34+AU34+AV34+AW34+AX34+AY34),BC34)</f>
        <v>0.058911132742348715</v>
      </c>
      <c r="BE34" s="89"/>
      <c r="BF34" s="90">
        <f t="shared" si="47"/>
        <v>0.058911132742348715</v>
      </c>
      <c r="BG34" s="90"/>
      <c r="BH34" s="89"/>
      <c r="BI34" s="50"/>
      <c r="BJ34" s="50"/>
      <c r="BK34" s="51"/>
      <c r="BL34" s="51"/>
      <c r="BM34" s="50"/>
      <c r="BN34" s="51"/>
      <c r="BO34" s="51"/>
      <c r="BP34" s="51"/>
      <c r="BQ34" s="51"/>
      <c r="BR34" s="50"/>
      <c r="BS34" s="54"/>
      <c r="BT34" s="54"/>
      <c r="BU34" s="54"/>
      <c r="BV34" s="43"/>
      <c r="BW34" s="56"/>
      <c r="BX34" s="43"/>
      <c r="BY34" s="43"/>
      <c r="BZ34" s="43"/>
      <c r="CA34" s="43"/>
      <c r="CB34" s="43"/>
      <c r="CC34" s="4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</row>
    <row r="35" spans="1:203" ht="12.75">
      <c r="A35" s="64"/>
      <c r="B35" s="64"/>
      <c r="C35" s="64"/>
      <c r="D35" s="64"/>
      <c r="E35" s="64"/>
      <c r="F35" s="64">
        <f t="shared" si="48"/>
        <v>30</v>
      </c>
      <c r="G35" s="64">
        <f t="shared" si="38"/>
        <v>1.2</v>
      </c>
      <c r="H35" s="75">
        <v>1</v>
      </c>
      <c r="I35" s="64">
        <f t="shared" si="0"/>
        <v>-12</v>
      </c>
      <c r="J35" s="64">
        <f t="shared" si="1"/>
        <v>30.24</v>
      </c>
      <c r="K35" s="64">
        <f t="shared" si="39"/>
        <v>4.800000000000001</v>
      </c>
      <c r="L35" s="64">
        <f t="shared" si="2"/>
        <v>8.4</v>
      </c>
      <c r="M35" s="64">
        <f t="shared" si="40"/>
        <v>1.2</v>
      </c>
      <c r="N35" s="64">
        <f t="shared" si="3"/>
        <v>0.9272952180016122</v>
      </c>
      <c r="O35" s="64">
        <f t="shared" si="4"/>
        <v>2.0128284810072543</v>
      </c>
      <c r="P35" s="64">
        <f t="shared" si="5"/>
        <v>7.199999999999999</v>
      </c>
      <c r="Q35" s="64">
        <f t="shared" si="6"/>
        <v>0</v>
      </c>
      <c r="R35" s="64">
        <f t="shared" si="7"/>
        <v>0</v>
      </c>
      <c r="S35" s="93">
        <f t="shared" si="41"/>
        <v>9.212828481007254</v>
      </c>
      <c r="T35" s="94">
        <f t="shared" si="49"/>
        <v>1.2</v>
      </c>
      <c r="U35" s="95">
        <f t="shared" si="42"/>
        <v>9.212828481007254</v>
      </c>
      <c r="V35" s="64"/>
      <c r="W35" s="75">
        <f t="shared" si="43"/>
        <v>6.000000000000003</v>
      </c>
      <c r="X35" s="86">
        <f t="shared" si="44"/>
        <v>-0.017972027972027786</v>
      </c>
      <c r="Y35" s="64">
        <f t="shared" si="8"/>
        <v>1.0000591715976332</v>
      </c>
      <c r="Z35" s="64">
        <f t="shared" si="9"/>
        <v>-12.046430338891877</v>
      </c>
      <c r="AA35" s="64">
        <f t="shared" si="10"/>
        <v>36.10815516162159</v>
      </c>
      <c r="AB35" s="64">
        <f t="shared" si="45"/>
        <v>0.8217767059087862</v>
      </c>
      <c r="AC35" s="64">
        <f t="shared" si="46"/>
        <v>6.433722828741825</v>
      </c>
      <c r="AD35" s="64">
        <f t="shared" si="11"/>
        <v>0.031518147633678384</v>
      </c>
      <c r="AE35" s="64">
        <f t="shared" si="12"/>
        <v>0.1450827150506624</v>
      </c>
      <c r="AF35" s="86">
        <f t="shared" si="13"/>
        <v>0.028181818181818204</v>
      </c>
      <c r="AG35" s="64">
        <f t="shared" si="14"/>
        <v>0.6528722177279808</v>
      </c>
      <c r="AH35" s="64">
        <f t="shared" si="15"/>
        <v>0.6444726941622844</v>
      </c>
      <c r="AI35" s="87">
        <f t="shared" si="16"/>
        <v>0.008399523565696398</v>
      </c>
      <c r="AJ35" s="87">
        <f t="shared" si="17"/>
        <v>0</v>
      </c>
      <c r="AK35" s="88">
        <f t="shared" si="18"/>
        <v>262.3363636363645</v>
      </c>
      <c r="AL35" s="89">
        <f t="shared" si="19"/>
        <v>0</v>
      </c>
      <c r="AM35" s="90">
        <f t="shared" si="20"/>
        <v>256.3363636363645</v>
      </c>
      <c r="AN35" s="89">
        <f t="shared" si="21"/>
        <v>0</v>
      </c>
      <c r="AO35" s="89">
        <f t="shared" si="22"/>
        <v>0.05162396694214902</v>
      </c>
      <c r="AP35" s="91">
        <f t="shared" si="23"/>
        <v>0</v>
      </c>
      <c r="AQ35" s="89">
        <f t="shared" si="24"/>
        <v>0</v>
      </c>
      <c r="AR35" s="90">
        <f t="shared" si="25"/>
        <v>3.0077467279801917</v>
      </c>
      <c r="AS35" s="89">
        <f t="shared" si="26"/>
        <v>0</v>
      </c>
      <c r="AT35" s="90">
        <f t="shared" si="27"/>
        <v>3.0077467279801917</v>
      </c>
      <c r="AU35" s="89">
        <f t="shared" si="28"/>
        <v>0</v>
      </c>
      <c r="AV35" s="89">
        <f t="shared" si="29"/>
        <v>0</v>
      </c>
      <c r="AW35" s="89">
        <f t="shared" si="30"/>
        <v>0</v>
      </c>
      <c r="AX35" s="89">
        <f t="shared" si="31"/>
        <v>0</v>
      </c>
      <c r="AY35" s="89">
        <f t="shared" si="32"/>
        <v>0</v>
      </c>
      <c r="AZ35" s="90" t="b">
        <f t="shared" si="33"/>
        <v>0</v>
      </c>
      <c r="BA35" s="90" t="b">
        <f t="shared" si="34"/>
        <v>0</v>
      </c>
      <c r="BB35" s="64" t="b">
        <f t="shared" si="35"/>
        <v>0</v>
      </c>
      <c r="BC35" s="92">
        <f t="shared" si="36"/>
        <v>0</v>
      </c>
      <c r="BD35" s="90">
        <f>IF(R&gt;0,(AI35+AJ35+AL35+AN35+AO35+AP35+AQ35+AS35+AU35+AV35+AW35+AX35+AY35),BC35)</f>
        <v>0.06002349050784542</v>
      </c>
      <c r="BE35" s="89"/>
      <c r="BF35" s="90">
        <f t="shared" si="47"/>
        <v>0.06002349050784542</v>
      </c>
      <c r="BG35" s="90"/>
      <c r="BH35" s="89"/>
      <c r="BI35" s="50"/>
      <c r="BJ35" s="50"/>
      <c r="BK35" s="51"/>
      <c r="BL35" s="51"/>
      <c r="BM35" s="50"/>
      <c r="BN35" s="51"/>
      <c r="BO35" s="51"/>
      <c r="BP35" s="51"/>
      <c r="BQ35" s="51"/>
      <c r="BR35" s="50"/>
      <c r="BS35" s="54"/>
      <c r="BT35" s="54"/>
      <c r="BU35" s="54"/>
      <c r="BV35" s="43"/>
      <c r="BW35" s="56"/>
      <c r="BX35" s="43"/>
      <c r="BY35" s="43"/>
      <c r="BZ35" s="43"/>
      <c r="CA35" s="43"/>
      <c r="CB35" s="43"/>
      <c r="CC35" s="4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</row>
    <row r="36" spans="1:203" ht="12.75">
      <c r="A36" s="64"/>
      <c r="B36" s="64"/>
      <c r="C36" s="64"/>
      <c r="D36" s="64"/>
      <c r="E36" s="64"/>
      <c r="F36" s="64">
        <f t="shared" si="48"/>
        <v>31</v>
      </c>
      <c r="G36" s="64">
        <f t="shared" si="38"/>
        <v>1.24</v>
      </c>
      <c r="H36" s="75">
        <v>1</v>
      </c>
      <c r="I36" s="64">
        <f t="shared" si="0"/>
        <v>-12</v>
      </c>
      <c r="J36" s="64">
        <f t="shared" si="1"/>
        <v>30.0976</v>
      </c>
      <c r="K36" s="64">
        <f t="shared" si="39"/>
        <v>4.858971084499268</v>
      </c>
      <c r="L36" s="64">
        <f t="shared" si="2"/>
        <v>8.429485542249633</v>
      </c>
      <c r="M36" s="64">
        <f t="shared" si="40"/>
        <v>1.24</v>
      </c>
      <c r="N36" s="64">
        <f t="shared" si="3"/>
        <v>0.9438597506142169</v>
      </c>
      <c r="O36" s="64">
        <f t="shared" si="4"/>
        <v>2.109421600584298</v>
      </c>
      <c r="P36" s="64">
        <f t="shared" si="5"/>
        <v>7.4399999999999995</v>
      </c>
      <c r="Q36" s="64">
        <f t="shared" si="6"/>
        <v>0</v>
      </c>
      <c r="R36" s="64">
        <f t="shared" si="7"/>
        <v>0</v>
      </c>
      <c r="S36" s="93">
        <f t="shared" si="41"/>
        <v>9.549421600584298</v>
      </c>
      <c r="T36" s="94">
        <f t="shared" si="49"/>
        <v>1.24</v>
      </c>
      <c r="U36" s="95">
        <f t="shared" si="42"/>
        <v>9.549421600584298</v>
      </c>
      <c r="V36" s="64"/>
      <c r="W36" s="75">
        <f t="shared" si="43"/>
        <v>6.200000000000003</v>
      </c>
      <c r="X36" s="86">
        <f t="shared" si="44"/>
        <v>-0.01769930069930051</v>
      </c>
      <c r="Y36" s="64">
        <f t="shared" si="8"/>
        <v>1.0000591715976332</v>
      </c>
      <c r="Z36" s="64">
        <f t="shared" si="9"/>
        <v>-12.04642614308768</v>
      </c>
      <c r="AA36" s="64">
        <f t="shared" si="10"/>
        <v>36.10650906944105</v>
      </c>
      <c r="AB36" s="64">
        <f t="shared" si="45"/>
        <v>0.825712191865748</v>
      </c>
      <c r="AC36" s="64">
        <f t="shared" si="46"/>
        <v>6.435688357514731</v>
      </c>
      <c r="AD36" s="64">
        <f t="shared" si="11"/>
        <v>0.03180599435850494</v>
      </c>
      <c r="AE36" s="64">
        <f t="shared" si="12"/>
        <v>0.1457448797866565</v>
      </c>
      <c r="AF36" s="86">
        <f t="shared" si="13"/>
        <v>0.02845454545454548</v>
      </c>
      <c r="AG36" s="64">
        <f t="shared" si="14"/>
        <v>0.6558519590399543</v>
      </c>
      <c r="AH36" s="64">
        <f t="shared" si="15"/>
        <v>0.6473338791856362</v>
      </c>
      <c r="AI36" s="87">
        <f t="shared" si="16"/>
        <v>0.008518079854318072</v>
      </c>
      <c r="AJ36" s="87">
        <f t="shared" si="17"/>
        <v>0</v>
      </c>
      <c r="AK36" s="88">
        <f t="shared" si="18"/>
        <v>262.30090909091</v>
      </c>
      <c r="AL36" s="89">
        <f t="shared" si="19"/>
        <v>0</v>
      </c>
      <c r="AM36" s="90">
        <f t="shared" si="20"/>
        <v>256.30090909091</v>
      </c>
      <c r="AN36" s="89">
        <f t="shared" si="21"/>
        <v>0</v>
      </c>
      <c r="AO36" s="89">
        <f t="shared" si="22"/>
        <v>0.052627975206611846</v>
      </c>
      <c r="AP36" s="91">
        <f t="shared" si="23"/>
        <v>0</v>
      </c>
      <c r="AQ36" s="89">
        <f t="shared" si="24"/>
        <v>0</v>
      </c>
      <c r="AR36" s="90">
        <f t="shared" si="25"/>
        <v>3.008160594269544</v>
      </c>
      <c r="AS36" s="89">
        <f t="shared" si="26"/>
        <v>0</v>
      </c>
      <c r="AT36" s="90">
        <f t="shared" si="27"/>
        <v>3.008160594269544</v>
      </c>
      <c r="AU36" s="89">
        <f t="shared" si="28"/>
        <v>0</v>
      </c>
      <c r="AV36" s="89">
        <f t="shared" si="29"/>
        <v>0</v>
      </c>
      <c r="AW36" s="89">
        <f t="shared" si="30"/>
        <v>0</v>
      </c>
      <c r="AX36" s="89">
        <f t="shared" si="31"/>
        <v>0</v>
      </c>
      <c r="AY36" s="89">
        <f t="shared" si="32"/>
        <v>0</v>
      </c>
      <c r="AZ36" s="90" t="b">
        <f t="shared" si="33"/>
        <v>0</v>
      </c>
      <c r="BA36" s="90" t="b">
        <f t="shared" si="34"/>
        <v>0</v>
      </c>
      <c r="BB36" s="64" t="b">
        <f t="shared" si="35"/>
        <v>0</v>
      </c>
      <c r="BC36" s="92">
        <f t="shared" si="36"/>
        <v>0</v>
      </c>
      <c r="BD36" s="90">
        <f>IF(R&gt;0,(AI36+AJ36+AL36+AN36+AO36+AP36+AQ36+AS36+AU36+AV36+AW36+AX36+AY36),BC36)</f>
        <v>0.06114605506092992</v>
      </c>
      <c r="BE36" s="89"/>
      <c r="BF36" s="90">
        <f t="shared" si="47"/>
        <v>0.06114605506092992</v>
      </c>
      <c r="BG36" s="90"/>
      <c r="BH36" s="89"/>
      <c r="BI36" s="50"/>
      <c r="BJ36" s="50"/>
      <c r="BK36" s="51"/>
      <c r="BL36" s="51"/>
      <c r="BM36" s="50"/>
      <c r="BN36" s="51"/>
      <c r="BO36" s="51"/>
      <c r="BP36" s="51"/>
      <c r="BQ36" s="51"/>
      <c r="BR36" s="50"/>
      <c r="BS36" s="54"/>
      <c r="BT36" s="54"/>
      <c r="BU36" s="54"/>
      <c r="BV36" s="43"/>
      <c r="BW36" s="56"/>
      <c r="BX36" s="43"/>
      <c r="BY36" s="43"/>
      <c r="BZ36" s="43"/>
      <c r="CA36" s="43"/>
      <c r="CB36" s="43"/>
      <c r="CC36" s="4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</row>
    <row r="37" spans="1:203" ht="12.75">
      <c r="A37" s="64"/>
      <c r="B37" s="64"/>
      <c r="C37" s="64"/>
      <c r="D37" s="64"/>
      <c r="E37" s="64"/>
      <c r="F37" s="64">
        <f t="shared" si="48"/>
        <v>32</v>
      </c>
      <c r="G37" s="64">
        <f t="shared" si="38"/>
        <v>1.28</v>
      </c>
      <c r="H37" s="75">
        <v>1</v>
      </c>
      <c r="I37" s="64">
        <f t="shared" si="0"/>
        <v>-12</v>
      </c>
      <c r="J37" s="64">
        <f t="shared" si="1"/>
        <v>29.958399999999997</v>
      </c>
      <c r="K37" s="64">
        <f t="shared" si="39"/>
        <v>4.915933278635911</v>
      </c>
      <c r="L37" s="64">
        <f t="shared" si="2"/>
        <v>8.457966639317956</v>
      </c>
      <c r="M37" s="64">
        <f t="shared" si="40"/>
        <v>1.28</v>
      </c>
      <c r="N37" s="64">
        <f t="shared" si="3"/>
        <v>0.9602278317587973</v>
      </c>
      <c r="O37" s="64">
        <f aca="true" t="shared" si="50" ref="O37:O68">IF(G37&lt;=R,R^2/2*N37-(R-G37)^2*TAN(N37)/2,N$2)</f>
        <v>2.2071739331011475</v>
      </c>
      <c r="P37" s="64">
        <f t="shared" si="5"/>
        <v>7.68</v>
      </c>
      <c r="Q37" s="64">
        <f t="shared" si="6"/>
        <v>0</v>
      </c>
      <c r="R37" s="64">
        <f t="shared" si="7"/>
        <v>0</v>
      </c>
      <c r="S37" s="93">
        <f t="shared" si="41"/>
        <v>9.887173933101147</v>
      </c>
      <c r="T37" s="94">
        <f t="shared" si="49"/>
        <v>1.28</v>
      </c>
      <c r="U37" s="95">
        <f t="shared" si="42"/>
        <v>9.887173933101147</v>
      </c>
      <c r="V37" s="64"/>
      <c r="W37" s="75">
        <f t="shared" si="43"/>
        <v>6.400000000000003</v>
      </c>
      <c r="X37" s="86">
        <f t="shared" si="44"/>
        <v>-0.017426573426573236</v>
      </c>
      <c r="Y37" s="64">
        <f t="shared" si="8"/>
        <v>1.0000591715976332</v>
      </c>
      <c r="Z37" s="64">
        <f aca="true" t="shared" si="51" ref="Z37:Z68">2*(X37*DT-R*DT-bz)</f>
        <v>-12.046421947283486</v>
      </c>
      <c r="AA37" s="64">
        <f t="shared" si="10"/>
        <v>36.10486312602083</v>
      </c>
      <c r="AB37" s="64">
        <f t="shared" si="45"/>
        <v>0.8296286507684765</v>
      </c>
      <c r="AC37" s="64">
        <f t="shared" si="46"/>
        <v>6.437644373323417</v>
      </c>
      <c r="AD37" s="64">
        <f t="shared" si="11"/>
        <v>0.03209376790668365</v>
      </c>
      <c r="AE37" s="64">
        <f aca="true" t="shared" si="52" ref="AE37:AE68">IF(AND(AD37&gt;0,AD37&lt;=R),ACOS((R-AD37)/R),PI()/2)</f>
        <v>0.14640390361022826</v>
      </c>
      <c r="AF37" s="86">
        <f t="shared" si="13"/>
        <v>0.028727272727272754</v>
      </c>
      <c r="AG37" s="64">
        <f aca="true" t="shared" si="53" ref="AG37:AG68">IF(AE37&gt;=PI()/2,N$2,R^2*AE37/2)</f>
        <v>0.6588175662460272</v>
      </c>
      <c r="AH37" s="64">
        <f aca="true" t="shared" si="54" ref="AH37:AH68">IF(AE37&gt;=PI()/2,0,(R-AF37)*(AC37-bz)/2)</f>
        <v>0.6501803953501167</v>
      </c>
      <c r="AI37" s="87">
        <f aca="true" t="shared" si="55" ref="AI37:AI68">IF(AND(AD37&gt;0,AF37&gt;=0),AG37-AH37,IF(AND(AF37&gt;h,AD37&gt;=R),N$2,0))</f>
        <v>0.008637170895910429</v>
      </c>
      <c r="AJ37" s="87">
        <f t="shared" si="17"/>
        <v>0</v>
      </c>
      <c r="AK37" s="88">
        <f t="shared" si="18"/>
        <v>262.26545454545544</v>
      </c>
      <c r="AL37" s="89">
        <f t="shared" si="19"/>
        <v>0</v>
      </c>
      <c r="AM37" s="90">
        <f t="shared" si="20"/>
        <v>256.26545454545544</v>
      </c>
      <c r="AN37" s="89">
        <f aca="true" t="shared" si="56" ref="AN37:AN68">IF(AND(X37&gt;=h,AF37&gt;0,AF37&lt;h),bz*h+(h-AF37)*AM37/2,0)</f>
        <v>0</v>
      </c>
      <c r="AO37" s="89">
        <f aca="true" t="shared" si="57" ref="AO37:AO68">IF(AND(X37&lt;0,AF37&gt;0,AF37&lt;h),(AF37^2/DT/2),0)</f>
        <v>0.05364165289256227</v>
      </c>
      <c r="AP37" s="91">
        <f aca="true" t="shared" si="58" ref="AP37:AP68">IF(AND(AF37&lt;0,X37&gt;0,X37&lt;h),-((X37)^2/DT/2),0)</f>
        <v>0</v>
      </c>
      <c r="AQ37" s="89">
        <f aca="true" t="shared" si="59" ref="AQ37:AQ68">IF(AND(X37&gt;=0,X37&lt;h,AF37&gt;=0,AF37&lt;h),(X37+AF37)/2*bz,0)</f>
        <v>0</v>
      </c>
      <c r="AR37" s="90">
        <f t="shared" si="25"/>
        <v>3.0085744605588967</v>
      </c>
      <c r="AS37" s="89">
        <f aca="true" t="shared" si="60" ref="AS37:AS68">IF(beta=0,0,IF(AND(AD37&gt;R,AD37&lt;hmx),(hmx-R)^2/TAN(beta)/2-(hmx-AD37)*(bz+R-AR37)/2,IF(AD37&gt;=hmx,(hmx-R)^2/TAN(beta)/2,0)))</f>
        <v>0</v>
      </c>
      <c r="AT37" s="90">
        <f aca="true" t="shared" si="61" ref="AT37:AT68">IF((h-bz*TAN(beta)-X37)/(DT-TAN(beta))&gt;(bz+R),(bz+R),(h-bz*TAN(beta)-X37)/(DT-TAN(beta)))</f>
        <v>3.0085744605588967</v>
      </c>
      <c r="AU37" s="89">
        <f aca="true" t="shared" si="62" ref="AU37:AU68">IF(AD37&gt;=R,-AN$1,IF(OR(AF37&lt;h,beta=0),0,-(AF37-h)*(AT37-bz)/2))</f>
        <v>0</v>
      </c>
      <c r="AV37" s="89">
        <f aca="true" t="shared" si="63" ref="AV37:AV68">IF(BB37,pro,IF(AND(AF37&lt;hmw,AD37&lt;=hmx,AF37&gt;R,AD37&gt;=R,hmw=hmx),pro-(hmw+hmx-AF37-AD37)/2*R,0))</f>
        <v>0</v>
      </c>
      <c r="AW37" s="89">
        <f aca="true" t="shared" si="64" ref="AW37:AW68">IF(BA37,pro+(hmx-AD37)^2/2/DT,0)</f>
        <v>0</v>
      </c>
      <c r="AX37" s="89">
        <f aca="true" t="shared" si="65" ref="AX37:AX68">IF(AZ37,pro-(hmw-AF37)^2/2/DT,0)</f>
        <v>0</v>
      </c>
      <c r="AY37" s="89">
        <f aca="true" t="shared" si="66" ref="AY37:AY68">IF(AND(AF37&lt;R,AD37&gt;R,hmx&gt;R,hmw=hmx),(AD37-R)^2/2/DT,0)</f>
        <v>0</v>
      </c>
      <c r="AZ37" s="90" t="b">
        <f aca="true" t="shared" si="67" ref="AZ37:AZ68">AND(AF37&gt;R,AD37&gt;R,AF37&lt;hmx,AD37&gt;=hmx,hmw=hmx)</f>
        <v>0</v>
      </c>
      <c r="BA37" s="90" t="b">
        <f aca="true" t="shared" si="68" ref="BA37:BA68">AND(AF37&gt;R,AD37&gt;R,AD37&lt;hmx,AF37&gt;=hmw,hmw=hmx)</f>
        <v>0</v>
      </c>
      <c r="BB37" s="64" t="b">
        <f aca="true" t="shared" si="69" ref="BB37:BB68">AND(AF37&gt;hmw,AD37&gt;hmx,hmx&gt;R,hmw&gt;R)</f>
        <v>0</v>
      </c>
      <c r="BC37" s="92">
        <f aca="true" t="shared" si="70" ref="BC37:BC68">IF(AND(hmx=hmw,R=0,AD37&gt;0,AF37&gt;0,AD37&gt;=(-X37)),(X37+AD37)*bz/2,0)</f>
        <v>0</v>
      </c>
      <c r="BD37" s="90">
        <f aca="true" t="shared" si="71" ref="BD37:BD68">IF(R&gt;0,(AI37+AJ37+AL37+AN37+AO37+AP37+AQ37+AS37+AU37+AV37+AW37+AX37+AY37),BC37)</f>
        <v>0.0622788237884727</v>
      </c>
      <c r="BE37" s="89"/>
      <c r="BF37" s="90">
        <f t="shared" si="47"/>
        <v>0.0622788237884727</v>
      </c>
      <c r="BG37" s="90"/>
      <c r="BH37" s="89"/>
      <c r="BI37" s="50"/>
      <c r="BJ37" s="50"/>
      <c r="BK37" s="51"/>
      <c r="BL37" s="51"/>
      <c r="BM37" s="50"/>
      <c r="BN37" s="51"/>
      <c r="BO37" s="51"/>
      <c r="BP37" s="51"/>
      <c r="BQ37" s="51"/>
      <c r="BR37" s="50"/>
      <c r="BS37" s="54"/>
      <c r="BT37" s="54"/>
      <c r="BU37" s="54"/>
      <c r="BV37" s="43"/>
      <c r="BW37" s="56"/>
      <c r="BX37" s="56"/>
      <c r="BY37" s="43"/>
      <c r="BZ37" s="43"/>
      <c r="CA37" s="43"/>
      <c r="CB37" s="43"/>
      <c r="CC37" s="4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</row>
    <row r="38" spans="1:203" ht="12.75">
      <c r="A38" s="64"/>
      <c r="B38" s="64"/>
      <c r="C38" s="64"/>
      <c r="D38" s="64"/>
      <c r="E38" s="64"/>
      <c r="F38" s="64">
        <f t="shared" si="48"/>
        <v>33</v>
      </c>
      <c r="G38" s="64">
        <f aca="true" t="shared" si="72" ref="G38:G69">hmx*F38/100</f>
        <v>1.32</v>
      </c>
      <c r="H38" s="75">
        <v>1</v>
      </c>
      <c r="I38" s="64">
        <f t="shared" si="0"/>
        <v>-12</v>
      </c>
      <c r="J38" s="64">
        <f t="shared" si="1"/>
        <v>29.822400000000002</v>
      </c>
      <c r="K38" s="64">
        <f t="shared" si="39"/>
        <v>4.970955642529915</v>
      </c>
      <c r="L38" s="64">
        <f t="shared" si="2"/>
        <v>8.485477821264958</v>
      </c>
      <c r="M38" s="64">
        <f t="shared" si="40"/>
        <v>1.32</v>
      </c>
      <c r="N38" s="64">
        <f t="shared" si="3"/>
        <v>0.9764105267938344</v>
      </c>
      <c r="O38" s="64">
        <f t="shared" si="50"/>
        <v>2.306046000709691</v>
      </c>
      <c r="P38" s="64">
        <f t="shared" si="5"/>
        <v>7.92</v>
      </c>
      <c r="Q38" s="64">
        <f t="shared" si="6"/>
        <v>0</v>
      </c>
      <c r="R38" s="64">
        <f t="shared" si="7"/>
        <v>0</v>
      </c>
      <c r="S38" s="93">
        <f t="shared" si="41"/>
        <v>10.22604600070969</v>
      </c>
      <c r="T38" s="94">
        <f t="shared" si="49"/>
        <v>1.32</v>
      </c>
      <c r="U38" s="95">
        <f t="shared" si="42"/>
        <v>10.22604600070969</v>
      </c>
      <c r="V38" s="64"/>
      <c r="W38" s="75">
        <f t="shared" si="43"/>
        <v>6.600000000000003</v>
      </c>
      <c r="X38" s="86">
        <f t="shared" si="44"/>
        <v>-0.017153846153845964</v>
      </c>
      <c r="Y38" s="64">
        <f t="shared" si="8"/>
        <v>1.0000591715976332</v>
      </c>
      <c r="Z38" s="64">
        <f t="shared" si="51"/>
        <v>-12.04641775147929</v>
      </c>
      <c r="AA38" s="64">
        <f t="shared" si="10"/>
        <v>36.103217331360945</v>
      </c>
      <c r="AB38" s="64">
        <f t="shared" si="45"/>
        <v>0.8335263508220752</v>
      </c>
      <c r="AC38" s="64">
        <f t="shared" si="46"/>
        <v>6.4395910102625</v>
      </c>
      <c r="AD38" s="64">
        <f t="shared" si="11"/>
        <v>0.03238146930971155</v>
      </c>
      <c r="AE38" s="64">
        <f t="shared" si="52"/>
        <v>0.14705983107985832</v>
      </c>
      <c r="AF38" s="86">
        <f t="shared" si="13"/>
        <v>0.029000000000000026</v>
      </c>
      <c r="AG38" s="64">
        <f t="shared" si="53"/>
        <v>0.6617692398593624</v>
      </c>
      <c r="AH38" s="64">
        <f t="shared" si="54"/>
        <v>0.6530124457449441</v>
      </c>
      <c r="AI38" s="87">
        <f t="shared" si="55"/>
        <v>0.00875679411441832</v>
      </c>
      <c r="AJ38" s="87">
        <f t="shared" si="17"/>
        <v>0</v>
      </c>
      <c r="AK38" s="88">
        <f t="shared" si="18"/>
        <v>262.2300000000009</v>
      </c>
      <c r="AL38" s="89">
        <f t="shared" si="19"/>
        <v>0</v>
      </c>
      <c r="AM38" s="90">
        <f t="shared" si="20"/>
        <v>256.2300000000009</v>
      </c>
      <c r="AN38" s="89">
        <f t="shared" si="56"/>
        <v>0</v>
      </c>
      <c r="AO38" s="89">
        <f t="shared" si="57"/>
        <v>0.05466500000000029</v>
      </c>
      <c r="AP38" s="91">
        <f t="shared" si="58"/>
        <v>0</v>
      </c>
      <c r="AQ38" s="89">
        <f t="shared" si="59"/>
        <v>0</v>
      </c>
      <c r="AR38" s="90">
        <f t="shared" si="25"/>
        <v>3.0089883268482494</v>
      </c>
      <c r="AS38" s="89">
        <f t="shared" si="60"/>
        <v>0</v>
      </c>
      <c r="AT38" s="90">
        <f t="shared" si="61"/>
        <v>3.0089883268482494</v>
      </c>
      <c r="AU38" s="89">
        <f t="shared" si="62"/>
        <v>0</v>
      </c>
      <c r="AV38" s="89">
        <f t="shared" si="63"/>
        <v>0</v>
      </c>
      <c r="AW38" s="89">
        <f t="shared" si="64"/>
        <v>0</v>
      </c>
      <c r="AX38" s="89">
        <f t="shared" si="65"/>
        <v>0</v>
      </c>
      <c r="AY38" s="89">
        <f t="shared" si="66"/>
        <v>0</v>
      </c>
      <c r="AZ38" s="90" t="b">
        <f t="shared" si="67"/>
        <v>0</v>
      </c>
      <c r="BA38" s="90" t="b">
        <f t="shared" si="68"/>
        <v>0</v>
      </c>
      <c r="BB38" s="64" t="b">
        <f t="shared" si="69"/>
        <v>0</v>
      </c>
      <c r="BC38" s="92">
        <f t="shared" si="70"/>
        <v>0</v>
      </c>
      <c r="BD38" s="90">
        <f t="shared" si="71"/>
        <v>0.06342179411441862</v>
      </c>
      <c r="BE38" s="89"/>
      <c r="BF38" s="90">
        <f aca="true" t="shared" si="73" ref="BF38:BF69">IF(BD38&gt;FF,FF,BD38)</f>
        <v>0.06342179411441862</v>
      </c>
      <c r="BG38" s="90"/>
      <c r="BH38" s="89"/>
      <c r="BI38" s="50"/>
      <c r="BJ38" s="50"/>
      <c r="BK38" s="51"/>
      <c r="BL38" s="51"/>
      <c r="BM38" s="50"/>
      <c r="BN38" s="51"/>
      <c r="BO38" s="51"/>
      <c r="BP38" s="51"/>
      <c r="BQ38" s="51"/>
      <c r="BR38" s="50"/>
      <c r="BS38" s="54"/>
      <c r="BT38" s="54"/>
      <c r="BU38" s="54"/>
      <c r="BV38" s="43"/>
      <c r="BW38" s="56"/>
      <c r="BX38" s="56"/>
      <c r="BY38" s="43"/>
      <c r="BZ38" s="43"/>
      <c r="CA38" s="43"/>
      <c r="CB38" s="43"/>
      <c r="CC38" s="4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</row>
    <row r="39" spans="1:203" ht="12.75">
      <c r="A39" s="64"/>
      <c r="B39" s="64"/>
      <c r="C39" s="64"/>
      <c r="D39" s="64"/>
      <c r="E39" s="64"/>
      <c r="F39" s="64">
        <f t="shared" si="48"/>
        <v>34</v>
      </c>
      <c r="G39" s="64">
        <f t="shared" si="72"/>
        <v>1.36</v>
      </c>
      <c r="H39" s="75">
        <v>1</v>
      </c>
      <c r="I39" s="64">
        <f t="shared" si="0"/>
        <v>-12</v>
      </c>
      <c r="J39" s="64">
        <f t="shared" si="1"/>
        <v>29.689600000000002</v>
      </c>
      <c r="K39" s="64">
        <f t="shared" si="39"/>
        <v>5.0241019097944255</v>
      </c>
      <c r="L39" s="64">
        <f t="shared" si="2"/>
        <v>8.512050954897212</v>
      </c>
      <c r="M39" s="64">
        <f t="shared" si="40"/>
        <v>1.36</v>
      </c>
      <c r="N39" s="64">
        <f t="shared" si="3"/>
        <v>0.9924180967936927</v>
      </c>
      <c r="O39" s="64">
        <f t="shared" si="50"/>
        <v>2.405999652555903</v>
      </c>
      <c r="P39" s="64">
        <f t="shared" si="5"/>
        <v>8.16</v>
      </c>
      <c r="Q39" s="64">
        <f t="shared" si="6"/>
        <v>0</v>
      </c>
      <c r="R39" s="64">
        <f t="shared" si="7"/>
        <v>0</v>
      </c>
      <c r="S39" s="93">
        <f t="shared" si="41"/>
        <v>10.565999652555902</v>
      </c>
      <c r="T39" s="94">
        <f t="shared" si="49"/>
        <v>1.36</v>
      </c>
      <c r="U39" s="95">
        <f t="shared" si="42"/>
        <v>10.565999652555902</v>
      </c>
      <c r="V39" s="64"/>
      <c r="W39" s="75">
        <f t="shared" si="43"/>
        <v>6.800000000000003</v>
      </c>
      <c r="X39" s="86">
        <f t="shared" si="44"/>
        <v>-0.016881118881118692</v>
      </c>
      <c r="Y39" s="64">
        <f t="shared" si="8"/>
        <v>1.0000591715976332</v>
      </c>
      <c r="Z39" s="64">
        <f t="shared" si="51"/>
        <v>-12.046413555675095</v>
      </c>
      <c r="AA39" s="64">
        <f t="shared" si="10"/>
        <v>36.10157168546139</v>
      </c>
      <c r="AB39" s="64">
        <f t="shared" si="45"/>
        <v>0.8374055539655335</v>
      </c>
      <c r="AC39" s="64">
        <f t="shared" si="46"/>
        <v>6.441528399293728</v>
      </c>
      <c r="AD39" s="64">
        <f t="shared" si="11"/>
        <v>0.03266909957498673</v>
      </c>
      <c r="AE39" s="64">
        <f t="shared" si="52"/>
        <v>0.14771270571169337</v>
      </c>
      <c r="AF39" s="86">
        <f t="shared" si="13"/>
        <v>0.029272727272727297</v>
      </c>
      <c r="AG39" s="64">
        <f t="shared" si="53"/>
        <v>0.6647071757026202</v>
      </c>
      <c r="AH39" s="64">
        <f t="shared" si="54"/>
        <v>0.6558302287327471</v>
      </c>
      <c r="AI39" s="87">
        <f t="shared" si="55"/>
        <v>0.008876946969873067</v>
      </c>
      <c r="AJ39" s="87">
        <f t="shared" si="17"/>
        <v>0</v>
      </c>
      <c r="AK39" s="88">
        <f t="shared" si="18"/>
        <v>262.19454545454636</v>
      </c>
      <c r="AL39" s="89">
        <f t="shared" si="19"/>
        <v>0</v>
      </c>
      <c r="AM39" s="90">
        <f t="shared" si="20"/>
        <v>256.19454545454636</v>
      </c>
      <c r="AN39" s="89">
        <f t="shared" si="56"/>
        <v>0</v>
      </c>
      <c r="AO39" s="89">
        <f t="shared" si="57"/>
        <v>0.05569801652892591</v>
      </c>
      <c r="AP39" s="91">
        <f t="shared" si="58"/>
        <v>0</v>
      </c>
      <c r="AQ39" s="89">
        <f t="shared" si="59"/>
        <v>0</v>
      </c>
      <c r="AR39" s="90">
        <f t="shared" si="25"/>
        <v>3.0094021931376016</v>
      </c>
      <c r="AS39" s="89">
        <f t="shared" si="60"/>
        <v>0</v>
      </c>
      <c r="AT39" s="90">
        <f t="shared" si="61"/>
        <v>3.009402193137602</v>
      </c>
      <c r="AU39" s="89">
        <f t="shared" si="62"/>
        <v>0</v>
      </c>
      <c r="AV39" s="89">
        <f t="shared" si="63"/>
        <v>0</v>
      </c>
      <c r="AW39" s="89">
        <f t="shared" si="64"/>
        <v>0</v>
      </c>
      <c r="AX39" s="89">
        <f t="shared" si="65"/>
        <v>0</v>
      </c>
      <c r="AY39" s="89">
        <f t="shared" si="66"/>
        <v>0</v>
      </c>
      <c r="AZ39" s="90" t="b">
        <f t="shared" si="67"/>
        <v>0</v>
      </c>
      <c r="BA39" s="90" t="b">
        <f t="shared" si="68"/>
        <v>0</v>
      </c>
      <c r="BB39" s="64" t="b">
        <f t="shared" si="69"/>
        <v>0</v>
      </c>
      <c r="BC39" s="92">
        <f t="shared" si="70"/>
        <v>0</v>
      </c>
      <c r="BD39" s="90">
        <f t="shared" si="71"/>
        <v>0.06457496349879899</v>
      </c>
      <c r="BE39" s="89"/>
      <c r="BF39" s="90">
        <f t="shared" si="73"/>
        <v>0.06457496349879899</v>
      </c>
      <c r="BG39" s="90"/>
      <c r="BH39" s="89"/>
      <c r="BI39" s="50"/>
      <c r="BJ39" s="50"/>
      <c r="BK39" s="51"/>
      <c r="BL39" s="51"/>
      <c r="BM39" s="50"/>
      <c r="BN39" s="51"/>
      <c r="BO39" s="51"/>
      <c r="BP39" s="51"/>
      <c r="BQ39" s="51"/>
      <c r="BR39" s="50"/>
      <c r="BS39" s="54"/>
      <c r="BT39" s="54"/>
      <c r="BU39" s="54"/>
      <c r="BV39" s="43"/>
      <c r="BW39" s="56"/>
      <c r="BX39" s="56"/>
      <c r="BY39" s="43"/>
      <c r="BZ39" s="43"/>
      <c r="CA39" s="43"/>
      <c r="CB39" s="43"/>
      <c r="CC39" s="4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</row>
    <row r="40" spans="1:203" ht="12.75">
      <c r="A40" s="64"/>
      <c r="B40" s="64"/>
      <c r="C40" s="64"/>
      <c r="D40" s="64"/>
      <c r="E40" s="64"/>
      <c r="F40" s="64">
        <f t="shared" si="48"/>
        <v>35</v>
      </c>
      <c r="G40" s="64">
        <f t="shared" si="72"/>
        <v>1.4</v>
      </c>
      <c r="H40" s="75">
        <v>1</v>
      </c>
      <c r="I40" s="64">
        <f t="shared" si="0"/>
        <v>-12</v>
      </c>
      <c r="J40" s="64">
        <f t="shared" si="1"/>
        <v>29.560000000000002</v>
      </c>
      <c r="K40" s="64">
        <f t="shared" si="39"/>
        <v>5.075431016179807</v>
      </c>
      <c r="L40" s="64">
        <f t="shared" si="2"/>
        <v>8.537715508089903</v>
      </c>
      <c r="M40" s="64">
        <f t="shared" si="40"/>
        <v>1.4</v>
      </c>
      <c r="N40" s="64">
        <f t="shared" si="3"/>
        <v>1.008260082251041</v>
      </c>
      <c r="O40" s="64">
        <f t="shared" si="50"/>
        <v>2.5069979636577613</v>
      </c>
      <c r="P40" s="64">
        <f t="shared" si="5"/>
        <v>8.399999999999999</v>
      </c>
      <c r="Q40" s="64">
        <f t="shared" si="6"/>
        <v>0</v>
      </c>
      <c r="R40" s="64">
        <f t="shared" si="7"/>
        <v>0</v>
      </c>
      <c r="S40" s="93">
        <f t="shared" si="41"/>
        <v>10.90699796365776</v>
      </c>
      <c r="T40" s="94">
        <f t="shared" si="49"/>
        <v>1.4</v>
      </c>
      <c r="U40" s="95">
        <f t="shared" si="42"/>
        <v>10.90699796365776</v>
      </c>
      <c r="V40" s="64"/>
      <c r="W40" s="75">
        <f t="shared" si="43"/>
        <v>7.0000000000000036</v>
      </c>
      <c r="X40" s="86">
        <f t="shared" si="44"/>
        <v>-0.016608391608391417</v>
      </c>
      <c r="Y40" s="64">
        <f t="shared" si="8"/>
        <v>1.0000591715976332</v>
      </c>
      <c r="Z40" s="64">
        <f t="shared" si="51"/>
        <v>-12.046409359870898</v>
      </c>
      <c r="AA40" s="64">
        <f t="shared" si="10"/>
        <v>36.099926188322165</v>
      </c>
      <c r="AB40" s="64">
        <f t="shared" si="45"/>
        <v>0.8412665160747265</v>
      </c>
      <c r="AC40" s="64">
        <f t="shared" si="46"/>
        <v>6.443456668347466</v>
      </c>
      <c r="AD40" s="64">
        <f t="shared" si="11"/>
        <v>0.03295665968658891</v>
      </c>
      <c r="AE40" s="64">
        <f t="shared" si="52"/>
        <v>0.1483625700133553</v>
      </c>
      <c r="AF40" s="86">
        <f t="shared" si="13"/>
        <v>0.029545454545454573</v>
      </c>
      <c r="AG40" s="64">
        <f t="shared" si="53"/>
        <v>0.6676315650600988</v>
      </c>
      <c r="AH40" s="64">
        <f t="shared" si="54"/>
        <v>0.6586339381024291</v>
      </c>
      <c r="AI40" s="87">
        <f t="shared" si="55"/>
        <v>0.008997626957669702</v>
      </c>
      <c r="AJ40" s="87">
        <f t="shared" si="17"/>
        <v>0</v>
      </c>
      <c r="AK40" s="88">
        <f t="shared" si="18"/>
        <v>262.1590909090918</v>
      </c>
      <c r="AL40" s="89">
        <f t="shared" si="19"/>
        <v>0</v>
      </c>
      <c r="AM40" s="90">
        <f t="shared" si="20"/>
        <v>256.15909090909184</v>
      </c>
      <c r="AN40" s="89">
        <f t="shared" si="56"/>
        <v>0</v>
      </c>
      <c r="AO40" s="89">
        <f t="shared" si="57"/>
        <v>0.05674070247933915</v>
      </c>
      <c r="AP40" s="91">
        <f t="shared" si="58"/>
        <v>0</v>
      </c>
      <c r="AQ40" s="89">
        <f t="shared" si="59"/>
        <v>0</v>
      </c>
      <c r="AR40" s="90">
        <f t="shared" si="25"/>
        <v>3.009816059426955</v>
      </c>
      <c r="AS40" s="89">
        <f t="shared" si="60"/>
        <v>0</v>
      </c>
      <c r="AT40" s="90">
        <f t="shared" si="61"/>
        <v>3.0098160594269547</v>
      </c>
      <c r="AU40" s="89">
        <f t="shared" si="62"/>
        <v>0</v>
      </c>
      <c r="AV40" s="89">
        <f t="shared" si="63"/>
        <v>0</v>
      </c>
      <c r="AW40" s="89">
        <f t="shared" si="64"/>
        <v>0</v>
      </c>
      <c r="AX40" s="89">
        <f t="shared" si="65"/>
        <v>0</v>
      </c>
      <c r="AY40" s="89">
        <f t="shared" si="66"/>
        <v>0</v>
      </c>
      <c r="AZ40" s="90" t="b">
        <f t="shared" si="67"/>
        <v>0</v>
      </c>
      <c r="BA40" s="90" t="b">
        <f t="shared" si="68"/>
        <v>0</v>
      </c>
      <c r="BB40" s="64" t="b">
        <f t="shared" si="69"/>
        <v>0</v>
      </c>
      <c r="BC40" s="92">
        <f t="shared" si="70"/>
        <v>0</v>
      </c>
      <c r="BD40" s="90">
        <f t="shared" si="71"/>
        <v>0.06573832943700886</v>
      </c>
      <c r="BE40" s="89"/>
      <c r="BF40" s="90">
        <f t="shared" si="73"/>
        <v>0.06573832943700886</v>
      </c>
      <c r="BG40" s="90"/>
      <c r="BH40" s="89"/>
      <c r="BI40" s="50"/>
      <c r="BJ40" s="50"/>
      <c r="BK40" s="51"/>
      <c r="BL40" s="51"/>
      <c r="BM40" s="50"/>
      <c r="BN40" s="51"/>
      <c r="BO40" s="51"/>
      <c r="BP40" s="51"/>
      <c r="BQ40" s="51"/>
      <c r="BR40" s="50"/>
      <c r="BS40" s="54"/>
      <c r="BT40" s="54"/>
      <c r="BU40" s="54"/>
      <c r="BV40" s="43"/>
      <c r="BW40" s="56"/>
      <c r="BX40" s="56"/>
      <c r="BY40" s="43"/>
      <c r="BZ40" s="43"/>
      <c r="CA40" s="43"/>
      <c r="CB40" s="43"/>
      <c r="CC40" s="4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</row>
    <row r="41" spans="1:203" ht="12.75">
      <c r="A41" s="64"/>
      <c r="B41" s="64"/>
      <c r="C41" s="64"/>
      <c r="D41" s="64"/>
      <c r="E41" s="64"/>
      <c r="F41" s="64">
        <f t="shared" si="48"/>
        <v>36</v>
      </c>
      <c r="G41" s="64">
        <f t="shared" si="72"/>
        <v>1.44</v>
      </c>
      <c r="H41" s="75">
        <v>1</v>
      </c>
      <c r="I41" s="64">
        <f t="shared" si="0"/>
        <v>-12</v>
      </c>
      <c r="J41" s="64">
        <f t="shared" si="1"/>
        <v>29.4336</v>
      </c>
      <c r="K41" s="64">
        <f t="shared" si="39"/>
        <v>5.12499756097503</v>
      </c>
      <c r="L41" s="64">
        <f t="shared" si="2"/>
        <v>8.562498780487514</v>
      </c>
      <c r="M41" s="64">
        <f t="shared" si="40"/>
        <v>1.44</v>
      </c>
      <c r="N41" s="64">
        <f t="shared" si="3"/>
        <v>1.0239453760989525</v>
      </c>
      <c r="O41" s="64">
        <f t="shared" si="50"/>
        <v>2.6090051436650246</v>
      </c>
      <c r="P41" s="64">
        <f t="shared" si="5"/>
        <v>8.64</v>
      </c>
      <c r="Q41" s="64">
        <f t="shared" si="6"/>
        <v>0</v>
      </c>
      <c r="R41" s="64">
        <f t="shared" si="7"/>
        <v>0</v>
      </c>
      <c r="S41" s="93">
        <f t="shared" si="41"/>
        <v>11.249005143665025</v>
      </c>
      <c r="T41" s="94">
        <f t="shared" si="49"/>
        <v>1.44</v>
      </c>
      <c r="U41" s="95">
        <f t="shared" si="42"/>
        <v>11.249005143665025</v>
      </c>
      <c r="V41" s="64"/>
      <c r="W41" s="75">
        <f t="shared" si="43"/>
        <v>7.200000000000004</v>
      </c>
      <c r="X41" s="86">
        <f t="shared" si="44"/>
        <v>-0.016335664335664142</v>
      </c>
      <c r="Y41" s="64">
        <f t="shared" si="8"/>
        <v>1.0000591715976332</v>
      </c>
      <c r="Z41" s="64">
        <f t="shared" si="51"/>
        <v>-12.046405164066702</v>
      </c>
      <c r="AA41" s="64">
        <f t="shared" si="10"/>
        <v>36.09828083994327</v>
      </c>
      <c r="AB41" s="64">
        <f t="shared" si="45"/>
        <v>0.8451094871573457</v>
      </c>
      <c r="AC41" s="64">
        <f t="shared" si="46"/>
        <v>6.445375942420164</v>
      </c>
      <c r="AD41" s="64">
        <f t="shared" si="11"/>
        <v>0.033244150606029255</v>
      </c>
      <c r="AE41" s="64">
        <f t="shared" si="52"/>
        <v>0.14900946551635963</v>
      </c>
      <c r="AF41" s="86">
        <f t="shared" si="13"/>
        <v>0.029818181818181848</v>
      </c>
      <c r="AG41" s="64">
        <f t="shared" si="53"/>
        <v>0.6705425948236183</v>
      </c>
      <c r="AH41" s="64">
        <f t="shared" si="54"/>
        <v>0.6614237632159823</v>
      </c>
      <c r="AI41" s="87">
        <f t="shared" si="55"/>
        <v>0.009118831607636046</v>
      </c>
      <c r="AJ41" s="87">
        <f t="shared" si="17"/>
        <v>0</v>
      </c>
      <c r="AK41" s="88">
        <f t="shared" si="18"/>
        <v>262.1236363636373</v>
      </c>
      <c r="AL41" s="89">
        <f t="shared" si="19"/>
        <v>0</v>
      </c>
      <c r="AM41" s="90">
        <f t="shared" si="20"/>
        <v>256.1236363636373</v>
      </c>
      <c r="AN41" s="89">
        <f t="shared" si="56"/>
        <v>0</v>
      </c>
      <c r="AO41" s="89">
        <f t="shared" si="57"/>
        <v>0.05779305785123999</v>
      </c>
      <c r="AP41" s="91">
        <f t="shared" si="58"/>
        <v>0</v>
      </c>
      <c r="AQ41" s="89">
        <f t="shared" si="59"/>
        <v>0</v>
      </c>
      <c r="AR41" s="90">
        <f t="shared" si="25"/>
        <v>3.0102299257163074</v>
      </c>
      <c r="AS41" s="89">
        <f t="shared" si="60"/>
        <v>0</v>
      </c>
      <c r="AT41" s="90">
        <f t="shared" si="61"/>
        <v>3.0102299257163074</v>
      </c>
      <c r="AU41" s="89">
        <f t="shared" si="62"/>
        <v>0</v>
      </c>
      <c r="AV41" s="89">
        <f t="shared" si="63"/>
        <v>0</v>
      </c>
      <c r="AW41" s="89">
        <f t="shared" si="64"/>
        <v>0</v>
      </c>
      <c r="AX41" s="89">
        <f t="shared" si="65"/>
        <v>0</v>
      </c>
      <c r="AY41" s="89">
        <f t="shared" si="66"/>
        <v>0</v>
      </c>
      <c r="AZ41" s="90" t="b">
        <f t="shared" si="67"/>
        <v>0</v>
      </c>
      <c r="BA41" s="90" t="b">
        <f t="shared" si="68"/>
        <v>0</v>
      </c>
      <c r="BB41" s="64" t="b">
        <f t="shared" si="69"/>
        <v>0</v>
      </c>
      <c r="BC41" s="92">
        <f t="shared" si="70"/>
        <v>0</v>
      </c>
      <c r="BD41" s="90">
        <f t="shared" si="71"/>
        <v>0.06691188945887604</v>
      </c>
      <c r="BE41" s="89"/>
      <c r="BF41" s="90">
        <f t="shared" si="73"/>
        <v>0.06691188945887604</v>
      </c>
      <c r="BG41" s="90"/>
      <c r="BH41" s="89"/>
      <c r="BI41" s="50"/>
      <c r="BJ41" s="50"/>
      <c r="BK41" s="51"/>
      <c r="BL41" s="51"/>
      <c r="BM41" s="50"/>
      <c r="BN41" s="51"/>
      <c r="BO41" s="51"/>
      <c r="BP41" s="51"/>
      <c r="BQ41" s="51"/>
      <c r="BR41" s="50"/>
      <c r="BS41" s="54"/>
      <c r="BT41" s="54"/>
      <c r="BU41" s="54"/>
      <c r="BV41" s="43"/>
      <c r="BW41" s="56"/>
      <c r="BX41" s="56"/>
      <c r="BY41" s="43"/>
      <c r="BZ41" s="43"/>
      <c r="CA41" s="43" t="s">
        <v>55</v>
      </c>
      <c r="CB41" s="43">
        <f>(G6-G5)</f>
        <v>0.04</v>
      </c>
      <c r="CC41" s="4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</row>
    <row r="42" spans="1:203" ht="12.75">
      <c r="A42" s="64"/>
      <c r="B42" s="64"/>
      <c r="C42" s="64"/>
      <c r="D42" s="64"/>
      <c r="E42" s="64"/>
      <c r="F42" s="64">
        <f t="shared" si="48"/>
        <v>37</v>
      </c>
      <c r="G42" s="64">
        <f t="shared" si="72"/>
        <v>1.48</v>
      </c>
      <c r="H42" s="75">
        <v>1</v>
      </c>
      <c r="I42" s="64">
        <f t="shared" si="0"/>
        <v>-12</v>
      </c>
      <c r="J42" s="64">
        <f t="shared" si="1"/>
        <v>29.310399999999998</v>
      </c>
      <c r="K42" s="64">
        <f t="shared" si="39"/>
        <v>5.172852211304708</v>
      </c>
      <c r="L42" s="64">
        <f t="shared" si="2"/>
        <v>8.586426105652354</v>
      </c>
      <c r="M42" s="64">
        <f t="shared" si="40"/>
        <v>1.48</v>
      </c>
      <c r="N42" s="64">
        <f t="shared" si="3"/>
        <v>1.0394822876792178</v>
      </c>
      <c r="O42" s="64">
        <f t="shared" si="50"/>
        <v>2.7119864542606904</v>
      </c>
      <c r="P42" s="64">
        <f t="shared" si="5"/>
        <v>8.879999999999999</v>
      </c>
      <c r="Q42" s="64">
        <f t="shared" si="6"/>
        <v>0</v>
      </c>
      <c r="R42" s="64">
        <f t="shared" si="7"/>
        <v>0</v>
      </c>
      <c r="S42" s="93">
        <f t="shared" si="41"/>
        <v>11.59198645426069</v>
      </c>
      <c r="T42" s="94">
        <f t="shared" si="49"/>
        <v>1.48</v>
      </c>
      <c r="U42" s="95">
        <f t="shared" si="42"/>
        <v>11.59198645426069</v>
      </c>
      <c r="V42" s="64"/>
      <c r="W42" s="75">
        <f t="shared" si="43"/>
        <v>7.400000000000004</v>
      </c>
      <c r="X42" s="86">
        <f t="shared" si="44"/>
        <v>-0.01606293706293687</v>
      </c>
      <c r="Y42" s="64">
        <f t="shared" si="8"/>
        <v>1.0000591715976332</v>
      </c>
      <c r="Z42" s="64">
        <f t="shared" si="51"/>
        <v>-12.046400968262507</v>
      </c>
      <c r="AA42" s="64">
        <f t="shared" si="10"/>
        <v>36.09663564032471</v>
      </c>
      <c r="AB42" s="64">
        <f t="shared" si="45"/>
        <v>0.8489347115396674</v>
      </c>
      <c r="AC42" s="64">
        <f t="shared" si="46"/>
        <v>6.4472863436677335</v>
      </c>
      <c r="AD42" s="64">
        <f t="shared" si="11"/>
        <v>0.033531573272968594</v>
      </c>
      <c r="AE42" s="64">
        <f t="shared" si="52"/>
        <v>0.14965343280720722</v>
      </c>
      <c r="AF42" s="86">
        <f t="shared" si="13"/>
        <v>0.03009090909090912</v>
      </c>
      <c r="AG42" s="64">
        <f t="shared" si="53"/>
        <v>0.6734404476324325</v>
      </c>
      <c r="AH42" s="64">
        <f t="shared" si="54"/>
        <v>0.6641998891491447</v>
      </c>
      <c r="AI42" s="87">
        <f t="shared" si="55"/>
        <v>0.009240558483287753</v>
      </c>
      <c r="AJ42" s="87">
        <f t="shared" si="17"/>
        <v>0</v>
      </c>
      <c r="AK42" s="88">
        <f t="shared" si="18"/>
        <v>262.0881818181827</v>
      </c>
      <c r="AL42" s="89">
        <f t="shared" si="19"/>
        <v>0</v>
      </c>
      <c r="AM42" s="90">
        <f t="shared" si="20"/>
        <v>256.0881818181827</v>
      </c>
      <c r="AN42" s="89">
        <f t="shared" si="56"/>
        <v>0</v>
      </c>
      <c r="AO42" s="89">
        <f t="shared" si="57"/>
        <v>0.05885508264462842</v>
      </c>
      <c r="AP42" s="91">
        <f t="shared" si="58"/>
        <v>0</v>
      </c>
      <c r="AQ42" s="89">
        <f t="shared" si="59"/>
        <v>0</v>
      </c>
      <c r="AR42" s="90">
        <f t="shared" si="25"/>
        <v>3.01064379200566</v>
      </c>
      <c r="AS42" s="89">
        <f t="shared" si="60"/>
        <v>0</v>
      </c>
      <c r="AT42" s="90">
        <f t="shared" si="61"/>
        <v>3.01064379200566</v>
      </c>
      <c r="AU42" s="89">
        <f t="shared" si="62"/>
        <v>0</v>
      </c>
      <c r="AV42" s="89">
        <f t="shared" si="63"/>
        <v>0</v>
      </c>
      <c r="AW42" s="89">
        <f t="shared" si="64"/>
        <v>0</v>
      </c>
      <c r="AX42" s="89">
        <f t="shared" si="65"/>
        <v>0</v>
      </c>
      <c r="AY42" s="89">
        <f t="shared" si="66"/>
        <v>0</v>
      </c>
      <c r="AZ42" s="90" t="b">
        <f t="shared" si="67"/>
        <v>0</v>
      </c>
      <c r="BA42" s="90" t="b">
        <f t="shared" si="68"/>
        <v>0</v>
      </c>
      <c r="BB42" s="64" t="b">
        <f t="shared" si="69"/>
        <v>0</v>
      </c>
      <c r="BC42" s="92">
        <f t="shared" si="70"/>
        <v>0</v>
      </c>
      <c r="BD42" s="90">
        <f t="shared" si="71"/>
        <v>0.06809564112791618</v>
      </c>
      <c r="BE42" s="89"/>
      <c r="BF42" s="90">
        <f t="shared" si="73"/>
        <v>0.06809564112791618</v>
      </c>
      <c r="BG42" s="90"/>
      <c r="BH42" s="89"/>
      <c r="BI42" s="50"/>
      <c r="BJ42" s="50"/>
      <c r="BK42" s="51"/>
      <c r="BL42" s="51"/>
      <c r="BM42" s="50"/>
      <c r="BN42" s="51"/>
      <c r="BO42" s="51"/>
      <c r="BP42" s="51"/>
      <c r="BQ42" s="51"/>
      <c r="BR42" s="50"/>
      <c r="BS42" s="54"/>
      <c r="BT42" s="54"/>
      <c r="BU42" s="54"/>
      <c r="BV42" s="43"/>
      <c r="BW42" s="56"/>
      <c r="BX42" s="56"/>
      <c r="BY42" s="43"/>
      <c r="BZ42" s="43"/>
      <c r="CA42" s="43"/>
      <c r="CB42" s="43"/>
      <c r="CC42" s="4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</row>
    <row r="43" spans="1:203" ht="12.75">
      <c r="A43" s="64"/>
      <c r="B43" s="64"/>
      <c r="C43" s="64"/>
      <c r="D43" s="64"/>
      <c r="E43" s="64"/>
      <c r="F43" s="64">
        <f t="shared" si="48"/>
        <v>38</v>
      </c>
      <c r="G43" s="64">
        <f t="shared" si="72"/>
        <v>1.52</v>
      </c>
      <c r="H43" s="75">
        <v>1</v>
      </c>
      <c r="I43" s="64">
        <f t="shared" si="0"/>
        <v>-12</v>
      </c>
      <c r="J43" s="64">
        <f t="shared" si="1"/>
        <v>29.1904</v>
      </c>
      <c r="K43" s="64">
        <f>IF((I43^2-4*H43*J43)&gt;=0,(I43^2-4*H43*J43)^0.5,0)</f>
        <v>5.219042057696029</v>
      </c>
      <c r="L43" s="64">
        <f t="shared" si="2"/>
        <v>8.609521028848015</v>
      </c>
      <c r="M43" s="64">
        <f t="shared" si="40"/>
        <v>1.52</v>
      </c>
      <c r="N43" s="64">
        <f t="shared" si="3"/>
        <v>1.0548785989990979</v>
      </c>
      <c r="O43" s="64">
        <f t="shared" si="50"/>
        <v>2.815908134148411</v>
      </c>
      <c r="P43" s="64">
        <f t="shared" si="5"/>
        <v>9.120000000000001</v>
      </c>
      <c r="Q43" s="64">
        <f t="shared" si="6"/>
        <v>0</v>
      </c>
      <c r="R43" s="64">
        <f t="shared" si="7"/>
        <v>0</v>
      </c>
      <c r="S43" s="93">
        <f t="shared" si="41"/>
        <v>11.935908134148413</v>
      </c>
      <c r="T43" s="94">
        <f t="shared" si="49"/>
        <v>1.52</v>
      </c>
      <c r="U43" s="95">
        <f t="shared" si="42"/>
        <v>11.935908134148413</v>
      </c>
      <c r="V43" s="64"/>
      <c r="W43" s="75">
        <f t="shared" si="43"/>
        <v>7.600000000000004</v>
      </c>
      <c r="X43" s="86">
        <f t="shared" si="44"/>
        <v>-0.0157902097902096</v>
      </c>
      <c r="Y43" s="64">
        <f t="shared" si="8"/>
        <v>1.0000591715976332</v>
      </c>
      <c r="Z43" s="64">
        <f t="shared" si="51"/>
        <v>-12.04639677245831</v>
      </c>
      <c r="AA43" s="64">
        <f t="shared" si="10"/>
        <v>36.09499058946648</v>
      </c>
      <c r="AB43" s="64">
        <f t="shared" si="45"/>
        <v>0.8527424280456285</v>
      </c>
      <c r="AC43" s="64">
        <f t="shared" si="46"/>
        <v>6.449187991495076</v>
      </c>
      <c r="AD43" s="64">
        <f t="shared" si="11"/>
        <v>0.03381892860590619</v>
      </c>
      <c r="AE43" s="64">
        <f t="shared" si="52"/>
        <v>0.1502945115572052</v>
      </c>
      <c r="AF43" s="86">
        <f t="shared" si="13"/>
        <v>0.03036363636363639</v>
      </c>
      <c r="AG43" s="64">
        <f t="shared" si="53"/>
        <v>0.6763253020074234</v>
      </c>
      <c r="AH43" s="64">
        <f t="shared" si="54"/>
        <v>0.6669624968262791</v>
      </c>
      <c r="AI43" s="87">
        <f t="shared" si="55"/>
        <v>0.009362805181144296</v>
      </c>
      <c r="AJ43" s="87">
        <f t="shared" si="17"/>
        <v>0</v>
      </c>
      <c r="AK43" s="88">
        <f t="shared" si="18"/>
        <v>262.0527272727282</v>
      </c>
      <c r="AL43" s="89">
        <f t="shared" si="19"/>
        <v>0</v>
      </c>
      <c r="AM43" s="90">
        <f t="shared" si="20"/>
        <v>256.0527272727282</v>
      </c>
      <c r="AN43" s="89">
        <f t="shared" si="56"/>
        <v>0</v>
      </c>
      <c r="AO43" s="89">
        <f t="shared" si="57"/>
        <v>0.059926776859504455</v>
      </c>
      <c r="AP43" s="91">
        <f t="shared" si="58"/>
        <v>0</v>
      </c>
      <c r="AQ43" s="89">
        <f t="shared" si="59"/>
        <v>0</v>
      </c>
      <c r="AR43" s="90">
        <f t="shared" si="25"/>
        <v>3.011057658295013</v>
      </c>
      <c r="AS43" s="89">
        <f t="shared" si="60"/>
        <v>0</v>
      </c>
      <c r="AT43" s="90">
        <f t="shared" si="61"/>
        <v>3.011057658295013</v>
      </c>
      <c r="AU43" s="89">
        <f t="shared" si="62"/>
        <v>0</v>
      </c>
      <c r="AV43" s="89">
        <f t="shared" si="63"/>
        <v>0</v>
      </c>
      <c r="AW43" s="89">
        <f t="shared" si="64"/>
        <v>0</v>
      </c>
      <c r="AX43" s="89">
        <f t="shared" si="65"/>
        <v>0</v>
      </c>
      <c r="AY43" s="89">
        <f t="shared" si="66"/>
        <v>0</v>
      </c>
      <c r="AZ43" s="90" t="b">
        <f t="shared" si="67"/>
        <v>0</v>
      </c>
      <c r="BA43" s="90" t="b">
        <f t="shared" si="68"/>
        <v>0</v>
      </c>
      <c r="BB43" s="64" t="b">
        <f t="shared" si="69"/>
        <v>0</v>
      </c>
      <c r="BC43" s="92">
        <f t="shared" si="70"/>
        <v>0</v>
      </c>
      <c r="BD43" s="90">
        <f t="shared" si="71"/>
        <v>0.06928958204064875</v>
      </c>
      <c r="BE43" s="89"/>
      <c r="BF43" s="90">
        <f t="shared" si="73"/>
        <v>0.06928958204064875</v>
      </c>
      <c r="BG43" s="90"/>
      <c r="BH43" s="89"/>
      <c r="BI43" s="50"/>
      <c r="BJ43" s="50"/>
      <c r="BK43" s="51"/>
      <c r="BL43" s="51"/>
      <c r="BM43" s="50"/>
      <c r="BN43" s="51"/>
      <c r="BO43" s="51"/>
      <c r="BP43" s="51"/>
      <c r="BQ43" s="51"/>
      <c r="BR43" s="50"/>
      <c r="BS43" s="54"/>
      <c r="BT43" s="54"/>
      <c r="BU43" s="54"/>
      <c r="BV43" s="43"/>
      <c r="BW43" s="56"/>
      <c r="BX43" s="56"/>
      <c r="BY43" s="43"/>
      <c r="BZ43" s="43"/>
      <c r="CA43" s="43"/>
      <c r="CB43" s="43"/>
      <c r="CC43" s="4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</row>
    <row r="44" spans="1:203" ht="12.75">
      <c r="A44" s="64"/>
      <c r="B44" s="64"/>
      <c r="C44" s="64"/>
      <c r="D44" s="64"/>
      <c r="E44" s="64"/>
      <c r="F44" s="64">
        <f t="shared" si="48"/>
        <v>39</v>
      </c>
      <c r="G44" s="64">
        <f t="shared" si="72"/>
        <v>1.56</v>
      </c>
      <c r="H44" s="75">
        <v>1</v>
      </c>
      <c r="I44" s="64">
        <f t="shared" si="0"/>
        <v>-12</v>
      </c>
      <c r="J44" s="64">
        <f t="shared" si="1"/>
        <v>29.0736</v>
      </c>
      <c r="K44" s="64">
        <f t="shared" si="39"/>
        <v>5.263610927870714</v>
      </c>
      <c r="L44" s="64">
        <f t="shared" si="2"/>
        <v>8.631805463935358</v>
      </c>
      <c r="M44" s="64">
        <f t="shared" si="40"/>
        <v>1.56</v>
      </c>
      <c r="N44" s="64">
        <f t="shared" si="3"/>
        <v>1.0701416143903084</v>
      </c>
      <c r="O44" s="64">
        <f t="shared" si="50"/>
        <v>2.920737330722931</v>
      </c>
      <c r="P44" s="64">
        <f t="shared" si="5"/>
        <v>9.36</v>
      </c>
      <c r="Q44" s="64">
        <f t="shared" si="6"/>
        <v>0</v>
      </c>
      <c r="R44" s="64">
        <f t="shared" si="7"/>
        <v>0</v>
      </c>
      <c r="S44" s="93">
        <f t="shared" si="41"/>
        <v>12.28073733072293</v>
      </c>
      <c r="T44" s="94">
        <f t="shared" si="49"/>
        <v>1.56</v>
      </c>
      <c r="U44" s="95">
        <f t="shared" si="42"/>
        <v>12.28073733072293</v>
      </c>
      <c r="V44" s="64"/>
      <c r="W44" s="75">
        <f t="shared" si="43"/>
        <v>7.800000000000004</v>
      </c>
      <c r="X44" s="86">
        <f t="shared" si="44"/>
        <v>-0.015517482517482323</v>
      </c>
      <c r="Y44" s="64">
        <f t="shared" si="8"/>
        <v>1.0000591715976332</v>
      </c>
      <c r="Z44" s="64">
        <f t="shared" si="51"/>
        <v>-12.046392576654116</v>
      </c>
      <c r="AA44" s="64">
        <f t="shared" si="10"/>
        <v>36.093345687368576</v>
      </c>
      <c r="AB44" s="64">
        <f t="shared" si="45"/>
        <v>0.8565328701690811</v>
      </c>
      <c r="AC44" s="64">
        <f t="shared" si="46"/>
        <v>6.45108100264221</v>
      </c>
      <c r="AD44" s="64">
        <f t="shared" si="11"/>
        <v>0.03410621750284219</v>
      </c>
      <c r="AE44" s="64">
        <f t="shared" si="52"/>
        <v>0.15093274055110695</v>
      </c>
      <c r="AF44" s="86">
        <f t="shared" si="13"/>
        <v>0.030636363636363666</v>
      </c>
      <c r="AG44" s="64">
        <f t="shared" si="53"/>
        <v>0.6791973324799813</v>
      </c>
      <c r="AH44" s="64">
        <f t="shared" si="54"/>
        <v>0.6697117631501143</v>
      </c>
      <c r="AI44" s="87">
        <f t="shared" si="55"/>
        <v>0.009485569329866994</v>
      </c>
      <c r="AJ44" s="87">
        <f t="shared" si="17"/>
        <v>0</v>
      </c>
      <c r="AK44" s="88">
        <f t="shared" si="18"/>
        <v>262.0172727272736</v>
      </c>
      <c r="AL44" s="89">
        <f t="shared" si="19"/>
        <v>0</v>
      </c>
      <c r="AM44" s="90">
        <f t="shared" si="20"/>
        <v>256.0172727272736</v>
      </c>
      <c r="AN44" s="89">
        <f t="shared" si="56"/>
        <v>0</v>
      </c>
      <c r="AO44" s="89">
        <f t="shared" si="57"/>
        <v>0.061008140495868106</v>
      </c>
      <c r="AP44" s="91">
        <f t="shared" si="58"/>
        <v>0</v>
      </c>
      <c r="AQ44" s="89">
        <f t="shared" si="59"/>
        <v>0</v>
      </c>
      <c r="AR44" s="90">
        <f t="shared" si="25"/>
        <v>3.011471524584365</v>
      </c>
      <c r="AS44" s="89">
        <f t="shared" si="60"/>
        <v>0</v>
      </c>
      <c r="AT44" s="90">
        <f t="shared" si="61"/>
        <v>3.011471524584365</v>
      </c>
      <c r="AU44" s="89">
        <f t="shared" si="62"/>
        <v>0</v>
      </c>
      <c r="AV44" s="89">
        <f t="shared" si="63"/>
        <v>0</v>
      </c>
      <c r="AW44" s="89">
        <f t="shared" si="64"/>
        <v>0</v>
      </c>
      <c r="AX44" s="89">
        <f t="shared" si="65"/>
        <v>0</v>
      </c>
      <c r="AY44" s="89">
        <f t="shared" si="66"/>
        <v>0</v>
      </c>
      <c r="AZ44" s="90" t="b">
        <f t="shared" si="67"/>
        <v>0</v>
      </c>
      <c r="BA44" s="90" t="b">
        <f t="shared" si="68"/>
        <v>0</v>
      </c>
      <c r="BB44" s="64" t="b">
        <f t="shared" si="69"/>
        <v>0</v>
      </c>
      <c r="BC44" s="92">
        <f t="shared" si="70"/>
        <v>0</v>
      </c>
      <c r="BD44" s="90">
        <f t="shared" si="71"/>
        <v>0.0704937098257351</v>
      </c>
      <c r="BE44" s="89"/>
      <c r="BF44" s="90">
        <f t="shared" si="73"/>
        <v>0.0704937098257351</v>
      </c>
      <c r="BG44" s="90"/>
      <c r="BH44" s="89"/>
      <c r="BI44" s="50"/>
      <c r="BJ44" s="50"/>
      <c r="BK44" s="51"/>
      <c r="BL44" s="51"/>
      <c r="BM44" s="50"/>
      <c r="BN44" s="51"/>
      <c r="BO44" s="51"/>
      <c r="BP44" s="51"/>
      <c r="BQ44" s="51"/>
      <c r="BR44" s="50"/>
      <c r="BS44" s="54"/>
      <c r="BT44" s="54"/>
      <c r="BU44" s="54"/>
      <c r="BV44" s="43"/>
      <c r="BW44" s="56"/>
      <c r="BX44" s="56"/>
      <c r="BY44" s="43"/>
      <c r="BZ44" s="43"/>
      <c r="CA44" s="43"/>
      <c r="CB44" s="43"/>
      <c r="CC44" s="4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</row>
    <row r="45" spans="1:203" ht="12.75">
      <c r="A45" s="64"/>
      <c r="B45" s="64"/>
      <c r="C45" s="64"/>
      <c r="D45" s="64"/>
      <c r="E45" s="64"/>
      <c r="F45" s="64">
        <f t="shared" si="48"/>
        <v>40</v>
      </c>
      <c r="G45" s="64">
        <f t="shared" si="72"/>
        <v>1.6</v>
      </c>
      <c r="H45" s="75">
        <v>1</v>
      </c>
      <c r="I45" s="64">
        <f t="shared" si="0"/>
        <v>-12</v>
      </c>
      <c r="J45" s="64">
        <f t="shared" si="1"/>
        <v>28.96</v>
      </c>
      <c r="K45" s="65">
        <f t="shared" si="39"/>
        <v>5.3065996645686395</v>
      </c>
      <c r="L45" s="65">
        <f t="shared" si="2"/>
        <v>8.65329983228432</v>
      </c>
      <c r="M45" s="64">
        <f t="shared" si="40"/>
        <v>1.6</v>
      </c>
      <c r="N45" s="64">
        <f t="shared" si="3"/>
        <v>1.0852782044993055</v>
      </c>
      <c r="O45" s="64">
        <f t="shared" si="50"/>
        <v>3.0264420376478505</v>
      </c>
      <c r="P45" s="64">
        <f t="shared" si="5"/>
        <v>9.600000000000001</v>
      </c>
      <c r="Q45" s="64">
        <f t="shared" si="6"/>
        <v>0</v>
      </c>
      <c r="R45" s="64">
        <f t="shared" si="7"/>
        <v>0</v>
      </c>
      <c r="S45" s="93">
        <f t="shared" si="41"/>
        <v>12.626442037647852</v>
      </c>
      <c r="T45" s="94">
        <f t="shared" si="49"/>
        <v>1.6</v>
      </c>
      <c r="U45" s="95">
        <f t="shared" si="42"/>
        <v>12.626442037647852</v>
      </c>
      <c r="V45" s="64"/>
      <c r="W45" s="75">
        <f t="shared" si="43"/>
        <v>8.000000000000004</v>
      </c>
      <c r="X45" s="86">
        <f t="shared" si="44"/>
        <v>-0.01524475524475505</v>
      </c>
      <c r="Y45" s="64">
        <f t="shared" si="8"/>
        <v>1.0000591715976332</v>
      </c>
      <c r="Z45" s="64">
        <f t="shared" si="51"/>
        <v>-12.046388380849919</v>
      </c>
      <c r="AA45" s="64">
        <f t="shared" si="10"/>
        <v>36.091700934031</v>
      </c>
      <c r="AB45" s="64">
        <f t="shared" si="45"/>
        <v>0.8603062662387408</v>
      </c>
      <c r="AC45" s="64">
        <f t="shared" si="46"/>
        <v>6.452965491266739</v>
      </c>
      <c r="AD45" s="64">
        <f t="shared" si="11"/>
        <v>0.034393440841912</v>
      </c>
      <c r="AE45" s="64">
        <f t="shared" si="52"/>
        <v>0.15156815771458376</v>
      </c>
      <c r="AF45" s="86">
        <f t="shared" si="13"/>
        <v>0.03090909090909094</v>
      </c>
      <c r="AG45" s="64">
        <f t="shared" si="53"/>
        <v>0.6820567097156269</v>
      </c>
      <c r="AH45" s="64">
        <f t="shared" si="54"/>
        <v>0.6724478611259864</v>
      </c>
      <c r="AI45" s="87">
        <f t="shared" si="55"/>
        <v>0.009608848589640506</v>
      </c>
      <c r="AJ45" s="87">
        <f t="shared" si="17"/>
        <v>0</v>
      </c>
      <c r="AK45" s="88">
        <f t="shared" si="18"/>
        <v>261.9818181818191</v>
      </c>
      <c r="AL45" s="89">
        <f t="shared" si="19"/>
        <v>0</v>
      </c>
      <c r="AM45" s="90">
        <f t="shared" si="20"/>
        <v>255.98181818181908</v>
      </c>
      <c r="AN45" s="89">
        <f t="shared" si="56"/>
        <v>0</v>
      </c>
      <c r="AO45" s="89">
        <f t="shared" si="57"/>
        <v>0.062099173553719356</v>
      </c>
      <c r="AP45" s="91">
        <f t="shared" si="58"/>
        <v>0</v>
      </c>
      <c r="AQ45" s="89">
        <f t="shared" si="59"/>
        <v>0</v>
      </c>
      <c r="AR45" s="90">
        <f t="shared" si="25"/>
        <v>3.0118853908737178</v>
      </c>
      <c r="AS45" s="89">
        <f t="shared" si="60"/>
        <v>0</v>
      </c>
      <c r="AT45" s="90">
        <f t="shared" si="61"/>
        <v>3.011885390873718</v>
      </c>
      <c r="AU45" s="89">
        <f t="shared" si="62"/>
        <v>0</v>
      </c>
      <c r="AV45" s="89">
        <f t="shared" si="63"/>
        <v>0</v>
      </c>
      <c r="AW45" s="89">
        <f t="shared" si="64"/>
        <v>0</v>
      </c>
      <c r="AX45" s="89">
        <f t="shared" si="65"/>
        <v>0</v>
      </c>
      <c r="AY45" s="89">
        <f t="shared" si="66"/>
        <v>0</v>
      </c>
      <c r="AZ45" s="90" t="b">
        <f t="shared" si="67"/>
        <v>0</v>
      </c>
      <c r="BA45" s="90" t="b">
        <f t="shared" si="68"/>
        <v>0</v>
      </c>
      <c r="BB45" s="64" t="b">
        <f t="shared" si="69"/>
        <v>0</v>
      </c>
      <c r="BC45" s="92">
        <f t="shared" si="70"/>
        <v>0</v>
      </c>
      <c r="BD45" s="90">
        <f t="shared" si="71"/>
        <v>0.07170802214335986</v>
      </c>
      <c r="BE45" s="89"/>
      <c r="BF45" s="90">
        <f t="shared" si="73"/>
        <v>0.07170802214335986</v>
      </c>
      <c r="BG45" s="90"/>
      <c r="BH45" s="89"/>
      <c r="BI45" s="50"/>
      <c r="BJ45" s="50"/>
      <c r="BK45" s="51"/>
      <c r="BL45" s="51"/>
      <c r="BM45" s="50"/>
      <c r="BN45" s="51"/>
      <c r="BO45" s="51"/>
      <c r="BP45" s="51"/>
      <c r="BQ45" s="51"/>
      <c r="BR45" s="50"/>
      <c r="BS45" s="54"/>
      <c r="BT45" s="54"/>
      <c r="BU45" s="54"/>
      <c r="BV45" s="43"/>
      <c r="BW45" s="56"/>
      <c r="BX45" s="56"/>
      <c r="BY45" s="43"/>
      <c r="BZ45" s="43"/>
      <c r="CA45" s="43"/>
      <c r="CB45" s="43"/>
      <c r="CC45" s="4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ht="12.75">
      <c r="A46" s="64"/>
      <c r="B46" s="64"/>
      <c r="C46" s="64"/>
      <c r="D46" s="64"/>
      <c r="E46" s="64"/>
      <c r="F46" s="64">
        <f t="shared" si="48"/>
        <v>41</v>
      </c>
      <c r="G46" s="64">
        <f t="shared" si="72"/>
        <v>1.64</v>
      </c>
      <c r="H46" s="75">
        <v>1</v>
      </c>
      <c r="I46" s="64">
        <f t="shared" si="0"/>
        <v>-12</v>
      </c>
      <c r="J46" s="64">
        <f t="shared" si="1"/>
        <v>28.8496</v>
      </c>
      <c r="K46" s="64">
        <f>IF((I46^2-4*H46*J46)&gt;=0,(I46^2-4*H46*J46)^0.5,0)</f>
        <v>5.348046372274647</v>
      </c>
      <c r="L46" s="64">
        <f aca="true" t="shared" si="74" ref="L46:L77">IF(G46&gt;=R,(bz+R),(-I46+K46)/(2*H46))</f>
        <v>8.674023186137322</v>
      </c>
      <c r="M46" s="64">
        <f>G46</f>
        <v>1.64</v>
      </c>
      <c r="N46" s="64">
        <f t="shared" si="3"/>
        <v>1.1002948453877395</v>
      </c>
      <c r="O46" s="64">
        <f t="shared" si="50"/>
        <v>3.132991037671448</v>
      </c>
      <c r="P46" s="64">
        <f aca="true" t="shared" si="75" ref="P46:P77">IF(G46&lt;=h,bz*G46,bz*h)</f>
        <v>9.84</v>
      </c>
      <c r="Q46" s="64">
        <f aca="true" t="shared" si="76" ref="Q46:Q77">IF(AND(G46&gt;h,G46&lt;=R,beta&gt;0),(G46-h)^2/2/TAN(beta),IF(G46&gt;R,tru,0))</f>
        <v>0</v>
      </c>
      <c r="R46" s="64">
        <f t="shared" si="7"/>
        <v>0</v>
      </c>
      <c r="S46" s="93">
        <f aca="true" t="shared" si="77" ref="S46:S106">O46+P46-Q46+R46</f>
        <v>12.972991037671449</v>
      </c>
      <c r="T46" s="94">
        <f t="shared" si="49"/>
        <v>1.64</v>
      </c>
      <c r="U46" s="95">
        <f aca="true" t="shared" si="78" ref="U46:U105">S46</f>
        <v>12.972991037671449</v>
      </c>
      <c r="V46" s="64"/>
      <c r="W46" s="75">
        <f t="shared" si="43"/>
        <v>8.200000000000003</v>
      </c>
      <c r="X46" s="86">
        <f t="shared" si="44"/>
        <v>-0.014972027972027778</v>
      </c>
      <c r="Y46" s="64">
        <f t="shared" si="8"/>
        <v>1.0000591715976332</v>
      </c>
      <c r="Z46" s="64">
        <f t="shared" si="51"/>
        <v>-12.046384185045723</v>
      </c>
      <c r="AA46" s="64">
        <f aca="true" t="shared" si="79" ref="AA46:AA105">X46^2+bz^2-2*R*X46</f>
        <v>36.09005632945376</v>
      </c>
      <c r="AB46" s="64">
        <f aca="true" t="shared" si="80" ref="AB46:AB105">IF((Z46^2-4*Y46*AA46)&gt;0,(Z46^2-4*Y46*AA46)^0.5,0)</f>
        <v>0.864062839577028</v>
      </c>
      <c r="AC46" s="64">
        <f aca="true" t="shared" si="81" ref="AC46:AC105">(-Z46+AB46)/(2*Y46)</f>
        <v>6.454841569023267</v>
      </c>
      <c r="AD46" s="64">
        <f aca="true" t="shared" si="82" ref="AD46:AD105">X46+DT*AC46</f>
        <v>0.03468059948199718</v>
      </c>
      <c r="AE46" s="64">
        <f t="shared" si="52"/>
        <v>0.15220080014064274</v>
      </c>
      <c r="AF46" s="86">
        <f aca="true" t="shared" si="83" ref="AF46:AF80">X46+DT*bz</f>
        <v>0.031181818181818213</v>
      </c>
      <c r="AG46" s="64">
        <f t="shared" si="53"/>
        <v>0.6849036006328924</v>
      </c>
      <c r="AH46" s="64">
        <f t="shared" si="54"/>
        <v>0.6751709599814919</v>
      </c>
      <c r="AI46" s="87">
        <f t="shared" si="55"/>
        <v>0.009732640651400448</v>
      </c>
      <c r="AJ46" s="87">
        <f aca="true" t="shared" si="84" ref="AJ46:AJ80">IF(AND(h&lt;=X46,AF46&gt;=h),h*bz,0)</f>
        <v>0</v>
      </c>
      <c r="AK46" s="88">
        <f aca="true" t="shared" si="85" ref="AK46:AK80">(h-X46)/DT</f>
        <v>261.94636363636454</v>
      </c>
      <c r="AL46" s="89">
        <f aca="true" t="shared" si="86" ref="AL46:AL80">IF(AND(X46&gt;0,X46&lt;h,AF46&gt;=h),bz*h-(h-X46)*AK46/2,0)</f>
        <v>0</v>
      </c>
      <c r="AM46" s="90">
        <f aca="true" t="shared" si="87" ref="AM46:AM80">(h-AF46)/DT</f>
        <v>255.94636363636454</v>
      </c>
      <c r="AN46" s="89">
        <f t="shared" si="56"/>
        <v>0</v>
      </c>
      <c r="AO46" s="89">
        <f t="shared" si="57"/>
        <v>0.0631998760330582</v>
      </c>
      <c r="AP46" s="91">
        <f t="shared" si="58"/>
        <v>0</v>
      </c>
      <c r="AQ46" s="89">
        <f t="shared" si="59"/>
        <v>0</v>
      </c>
      <c r="AR46" s="90">
        <f aca="true" t="shared" si="88" ref="AR46:AR80">IF((bz*TAN(beta)+X46-h)/(TAN(beta)-DT)&gt;bz+R,bz+R,(bz*TAN(beta)+X46-h)/(TAN(beta)-DT))</f>
        <v>3.012299257163071</v>
      </c>
      <c r="AS46" s="89">
        <f t="shared" si="60"/>
        <v>0</v>
      </c>
      <c r="AT46" s="90">
        <f t="shared" si="61"/>
        <v>3.012299257163071</v>
      </c>
      <c r="AU46" s="89">
        <f t="shared" si="62"/>
        <v>0</v>
      </c>
      <c r="AV46" s="89">
        <f t="shared" si="63"/>
        <v>0</v>
      </c>
      <c r="AW46" s="89">
        <f t="shared" si="64"/>
        <v>0</v>
      </c>
      <c r="AX46" s="89">
        <f t="shared" si="65"/>
        <v>0</v>
      </c>
      <c r="AY46" s="89">
        <f t="shared" si="66"/>
        <v>0</v>
      </c>
      <c r="AZ46" s="90" t="b">
        <f t="shared" si="67"/>
        <v>0</v>
      </c>
      <c r="BA46" s="90" t="b">
        <f t="shared" si="68"/>
        <v>0</v>
      </c>
      <c r="BB46" s="64" t="b">
        <f t="shared" si="69"/>
        <v>0</v>
      </c>
      <c r="BC46" s="92">
        <f t="shared" si="70"/>
        <v>0</v>
      </c>
      <c r="BD46" s="90">
        <f t="shared" si="71"/>
        <v>0.07293251668445865</v>
      </c>
      <c r="BE46" s="88"/>
      <c r="BF46" s="90">
        <f t="shared" si="73"/>
        <v>0.07293251668445865</v>
      </c>
      <c r="BG46" s="81"/>
      <c r="BH46" s="88"/>
      <c r="BI46" s="49"/>
      <c r="BJ46" s="49"/>
      <c r="BK46" s="46"/>
      <c r="BL46" s="46"/>
      <c r="BM46" s="49"/>
      <c r="BN46" s="46"/>
      <c r="BO46" s="46"/>
      <c r="BP46" s="46"/>
      <c r="BQ46" s="46"/>
      <c r="BR46" s="49"/>
      <c r="BS46" s="43"/>
      <c r="BT46" s="43"/>
      <c r="BU46" s="43"/>
      <c r="BV46" s="43"/>
      <c r="BW46" s="56"/>
      <c r="BX46" s="43"/>
      <c r="BY46" s="43"/>
      <c r="BZ46" s="43"/>
      <c r="CA46" s="43">
        <f>VLOOKUP(BW47,PLANE,2)</f>
        <v>0</v>
      </c>
      <c r="CB46" s="43">
        <f>VLOOKUP(CA46,Draft,2)</f>
        <v>0</v>
      </c>
      <c r="CC46" s="4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</row>
    <row r="47" spans="1:203" ht="12.75">
      <c r="A47" s="64"/>
      <c r="B47" s="64"/>
      <c r="C47" s="64"/>
      <c r="D47" s="64"/>
      <c r="E47" s="64"/>
      <c r="F47" s="64">
        <f t="shared" si="48"/>
        <v>42</v>
      </c>
      <c r="G47" s="64">
        <f t="shared" si="72"/>
        <v>1.68</v>
      </c>
      <c r="H47" s="75">
        <v>1</v>
      </c>
      <c r="I47" s="64">
        <f t="shared" si="0"/>
        <v>-12</v>
      </c>
      <c r="J47" s="64">
        <f aca="true" t="shared" si="89" ref="J47:J105">G47^2+bz^2-2*R*G47</f>
        <v>28.742400000000004</v>
      </c>
      <c r="K47" s="64">
        <f aca="true" t="shared" si="90" ref="K47:K105">IF((I47^2-4*H47*J47)&gt;=0,(I47^2-4*H47*J47)^0.5,0)</f>
        <v>5.387986636954475</v>
      </c>
      <c r="L47" s="64">
        <f t="shared" si="74"/>
        <v>8.693993318477236</v>
      </c>
      <c r="M47" s="64">
        <f aca="true" t="shared" si="91" ref="M47:M105">G47</f>
        <v>1.68</v>
      </c>
      <c r="N47" s="64">
        <f aca="true" t="shared" si="92" ref="N47:N105">IF(R&gt;0,ACOS((R-G47)/R),0)</f>
        <v>1.1151976533990733</v>
      </c>
      <c r="O47" s="64">
        <f t="shared" si="50"/>
        <v>3.2403538501008526</v>
      </c>
      <c r="P47" s="64">
        <f t="shared" si="75"/>
        <v>10.08</v>
      </c>
      <c r="Q47" s="64">
        <f t="shared" si="76"/>
        <v>0</v>
      </c>
      <c r="R47" s="64">
        <f t="shared" si="7"/>
        <v>0</v>
      </c>
      <c r="S47" s="93">
        <f t="shared" si="77"/>
        <v>13.320353850100853</v>
      </c>
      <c r="T47" s="94">
        <f t="shared" si="49"/>
        <v>1.68</v>
      </c>
      <c r="U47" s="95">
        <f t="shared" si="78"/>
        <v>13.320353850100853</v>
      </c>
      <c r="V47" s="64"/>
      <c r="W47" s="75">
        <f t="shared" si="43"/>
        <v>8.400000000000002</v>
      </c>
      <c r="X47" s="86">
        <f t="shared" si="44"/>
        <v>-0.014699300699300505</v>
      </c>
      <c r="Y47" s="64">
        <f t="shared" si="8"/>
        <v>1.0000591715976332</v>
      </c>
      <c r="Z47" s="64">
        <f t="shared" si="51"/>
        <v>-12.046379989241528</v>
      </c>
      <c r="AA47" s="64">
        <f t="shared" si="79"/>
        <v>36.08841187363685</v>
      </c>
      <c r="AB47" s="64">
        <f t="shared" si="80"/>
        <v>0.8678028086523323</v>
      </c>
      <c r="AC47" s="64">
        <f t="shared" si="81"/>
        <v>6.456709345139524</v>
      </c>
      <c r="AD47" s="64">
        <f t="shared" si="82"/>
        <v>0.03496769426331104</v>
      </c>
      <c r="AE47" s="64">
        <f t="shared" si="52"/>
        <v>0.152830704114981</v>
      </c>
      <c r="AF47" s="86">
        <f t="shared" si="83"/>
        <v>0.031454545454545485</v>
      </c>
      <c r="AG47" s="64">
        <f t="shared" si="53"/>
        <v>0.6877381685174145</v>
      </c>
      <c r="AH47" s="64">
        <f t="shared" si="54"/>
        <v>0.6778812252811827</v>
      </c>
      <c r="AI47" s="87">
        <f t="shared" si="55"/>
        <v>0.009856943236231874</v>
      </c>
      <c r="AJ47" s="87">
        <f t="shared" si="84"/>
        <v>0</v>
      </c>
      <c r="AK47" s="88">
        <f t="shared" si="85"/>
        <v>261.91090909090997</v>
      </c>
      <c r="AL47" s="89">
        <f t="shared" si="86"/>
        <v>0</v>
      </c>
      <c r="AM47" s="90">
        <f t="shared" si="87"/>
        <v>255.91090909091</v>
      </c>
      <c r="AN47" s="89">
        <f t="shared" si="56"/>
        <v>0</v>
      </c>
      <c r="AO47" s="89">
        <f t="shared" si="57"/>
        <v>0.06431024793388465</v>
      </c>
      <c r="AP47" s="91">
        <f t="shared" si="58"/>
        <v>0</v>
      </c>
      <c r="AQ47" s="89">
        <f t="shared" si="59"/>
        <v>0</v>
      </c>
      <c r="AR47" s="90">
        <f t="shared" si="88"/>
        <v>3.0127131234524236</v>
      </c>
      <c r="AS47" s="89">
        <f t="shared" si="60"/>
        <v>0</v>
      </c>
      <c r="AT47" s="90">
        <f t="shared" si="61"/>
        <v>3.012713123452423</v>
      </c>
      <c r="AU47" s="89">
        <f t="shared" si="62"/>
        <v>0</v>
      </c>
      <c r="AV47" s="89">
        <f t="shared" si="63"/>
        <v>0</v>
      </c>
      <c r="AW47" s="89">
        <f t="shared" si="64"/>
        <v>0</v>
      </c>
      <c r="AX47" s="89">
        <f t="shared" si="65"/>
        <v>0</v>
      </c>
      <c r="AY47" s="89">
        <f t="shared" si="66"/>
        <v>0</v>
      </c>
      <c r="AZ47" s="90" t="b">
        <f t="shared" si="67"/>
        <v>0</v>
      </c>
      <c r="BA47" s="90" t="b">
        <f t="shared" si="68"/>
        <v>0</v>
      </c>
      <c r="BB47" s="64" t="b">
        <f t="shared" si="69"/>
        <v>0</v>
      </c>
      <c r="BC47" s="92">
        <f t="shared" si="70"/>
        <v>0</v>
      </c>
      <c r="BD47" s="90">
        <f t="shared" si="71"/>
        <v>0.07416719117011653</v>
      </c>
      <c r="BE47" s="64"/>
      <c r="BF47" s="90">
        <f t="shared" si="73"/>
        <v>0.07416719117011653</v>
      </c>
      <c r="BG47" s="64"/>
      <c r="BH47" s="64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>
        <f>BF106/100</f>
        <v>0.08864543910842353</v>
      </c>
      <c r="BX47" s="43"/>
      <c r="BY47" s="43"/>
      <c r="BZ47" s="43"/>
      <c r="CA47" s="43">
        <f>ROUND((CA46+CB41),3)</f>
        <v>0.04</v>
      </c>
      <c r="CB47" s="43">
        <f>VLOOKUP(CA47,Draft,2)</f>
        <v>0.25303778621870465</v>
      </c>
      <c r="CC47" s="4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</row>
    <row r="48" spans="1:203" ht="12.75">
      <c r="A48" s="64"/>
      <c r="B48" s="64"/>
      <c r="C48" s="64"/>
      <c r="D48" s="64"/>
      <c r="E48" s="64"/>
      <c r="F48" s="64">
        <f t="shared" si="48"/>
        <v>43</v>
      </c>
      <c r="G48" s="64">
        <f t="shared" si="72"/>
        <v>1.72</v>
      </c>
      <c r="H48" s="75">
        <v>1</v>
      </c>
      <c r="I48" s="64">
        <f t="shared" si="0"/>
        <v>-12</v>
      </c>
      <c r="J48" s="64">
        <f t="shared" si="89"/>
        <v>28.638399999999997</v>
      </c>
      <c r="K48" s="64">
        <f t="shared" si="90"/>
        <v>5.42645372227572</v>
      </c>
      <c r="L48" s="64">
        <f t="shared" si="74"/>
        <v>8.71322686113786</v>
      </c>
      <c r="M48" s="64">
        <f t="shared" si="91"/>
        <v>1.72</v>
      </c>
      <c r="N48" s="64">
        <f t="shared" si="92"/>
        <v>1.1299924163463748</v>
      </c>
      <c r="O48" s="64">
        <f t="shared" si="50"/>
        <v>3.3485006824304584</v>
      </c>
      <c r="P48" s="64">
        <f t="shared" si="75"/>
        <v>10.32</v>
      </c>
      <c r="Q48" s="64">
        <f t="shared" si="76"/>
        <v>0</v>
      </c>
      <c r="R48" s="64">
        <f t="shared" si="7"/>
        <v>0</v>
      </c>
      <c r="S48" s="93">
        <f t="shared" si="77"/>
        <v>13.668500682430459</v>
      </c>
      <c r="T48" s="94">
        <f t="shared" si="49"/>
        <v>1.72</v>
      </c>
      <c r="U48" s="95">
        <f t="shared" si="78"/>
        <v>13.668500682430459</v>
      </c>
      <c r="V48" s="64"/>
      <c r="W48" s="75">
        <f t="shared" si="43"/>
        <v>8.600000000000001</v>
      </c>
      <c r="X48" s="86">
        <f t="shared" si="44"/>
        <v>-0.014426573426573233</v>
      </c>
      <c r="Y48" s="64">
        <f t="shared" si="8"/>
        <v>1.0000591715976332</v>
      </c>
      <c r="Z48" s="64">
        <f t="shared" si="51"/>
        <v>-12.046375793437331</v>
      </c>
      <c r="AA48" s="64">
        <f t="shared" si="79"/>
        <v>36.08676756658027</v>
      </c>
      <c r="AB48" s="64">
        <f t="shared" si="80"/>
        <v>0.8715263872255927</v>
      </c>
      <c r="AC48" s="64">
        <f t="shared" si="81"/>
        <v>6.458568926489657</v>
      </c>
      <c r="AD48" s="64">
        <f t="shared" si="82"/>
        <v>0.035254726007962416</v>
      </c>
      <c r="AE48" s="64">
        <f t="shared" si="52"/>
        <v>0.1534579051403715</v>
      </c>
      <c r="AF48" s="86">
        <f t="shared" si="83"/>
        <v>0.03172727272727276</v>
      </c>
      <c r="AG48" s="64">
        <f t="shared" si="53"/>
        <v>0.6905605731316717</v>
      </c>
      <c r="AH48" s="64">
        <f t="shared" si="54"/>
        <v>0.6805788190369906</v>
      </c>
      <c r="AI48" s="87">
        <f t="shared" si="55"/>
        <v>0.009981754094681161</v>
      </c>
      <c r="AJ48" s="87">
        <f t="shared" si="84"/>
        <v>0</v>
      </c>
      <c r="AK48" s="88">
        <f t="shared" si="85"/>
        <v>261.87545454545545</v>
      </c>
      <c r="AL48" s="89">
        <f t="shared" si="86"/>
        <v>0</v>
      </c>
      <c r="AM48" s="90">
        <f t="shared" si="87"/>
        <v>255.87545454545545</v>
      </c>
      <c r="AN48" s="89">
        <f t="shared" si="56"/>
        <v>0</v>
      </c>
      <c r="AO48" s="89">
        <f t="shared" si="57"/>
        <v>0.0654302892561987</v>
      </c>
      <c r="AP48" s="91">
        <f t="shared" si="58"/>
        <v>0</v>
      </c>
      <c r="AQ48" s="89">
        <f t="shared" si="59"/>
        <v>0</v>
      </c>
      <c r="AR48" s="90">
        <f t="shared" si="88"/>
        <v>3.0131269897417763</v>
      </c>
      <c r="AS48" s="89">
        <f t="shared" si="60"/>
        <v>0</v>
      </c>
      <c r="AT48" s="90">
        <f t="shared" si="61"/>
        <v>3.0131269897417763</v>
      </c>
      <c r="AU48" s="89">
        <f t="shared" si="62"/>
        <v>0</v>
      </c>
      <c r="AV48" s="89">
        <f t="shared" si="63"/>
        <v>0</v>
      </c>
      <c r="AW48" s="89">
        <f t="shared" si="64"/>
        <v>0</v>
      </c>
      <c r="AX48" s="89">
        <f t="shared" si="65"/>
        <v>0</v>
      </c>
      <c r="AY48" s="89">
        <f t="shared" si="66"/>
        <v>0</v>
      </c>
      <c r="AZ48" s="90" t="b">
        <f t="shared" si="67"/>
        <v>0</v>
      </c>
      <c r="BA48" s="90" t="b">
        <f t="shared" si="68"/>
        <v>0</v>
      </c>
      <c r="BB48" s="64" t="b">
        <f t="shared" si="69"/>
        <v>0</v>
      </c>
      <c r="BC48" s="92">
        <f t="shared" si="70"/>
        <v>0</v>
      </c>
      <c r="BD48" s="90">
        <f t="shared" si="71"/>
        <v>0.07541204335087986</v>
      </c>
      <c r="BE48" s="64"/>
      <c r="BF48" s="90">
        <f t="shared" si="73"/>
        <v>0.07541204335087986</v>
      </c>
      <c r="BG48" s="64"/>
      <c r="BH48" s="64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2">
        <f>IF(CA47&gt;hmx,hmx,(BW47-CB46)/(CB47-CB46)*CB41+CA46)</f>
        <v>0.014012996309066003</v>
      </c>
      <c r="CC48" s="4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</row>
    <row r="49" spans="1:203" ht="12.75">
      <c r="A49" s="64"/>
      <c r="B49" s="64"/>
      <c r="C49" s="64"/>
      <c r="D49" s="64"/>
      <c r="E49" s="64"/>
      <c r="F49" s="64">
        <f t="shared" si="48"/>
        <v>44</v>
      </c>
      <c r="G49" s="64">
        <f t="shared" si="72"/>
        <v>1.76</v>
      </c>
      <c r="H49" s="75">
        <v>1</v>
      </c>
      <c r="I49" s="64">
        <f t="shared" si="0"/>
        <v>-12</v>
      </c>
      <c r="J49" s="64">
        <f t="shared" si="89"/>
        <v>28.537599999999998</v>
      </c>
      <c r="K49" s="64">
        <f t="shared" si="90"/>
        <v>5.46347874526844</v>
      </c>
      <c r="L49" s="64">
        <f t="shared" si="74"/>
        <v>8.73173937263422</v>
      </c>
      <c r="M49" s="64">
        <f t="shared" si="91"/>
        <v>1.76</v>
      </c>
      <c r="N49" s="64">
        <f t="shared" si="92"/>
        <v>1.14468462149285</v>
      </c>
      <c r="O49" s="64">
        <f t="shared" si="50"/>
        <v>3.457402385684609</v>
      </c>
      <c r="P49" s="64">
        <f t="shared" si="75"/>
        <v>10.56</v>
      </c>
      <c r="Q49" s="64">
        <f t="shared" si="76"/>
        <v>0</v>
      </c>
      <c r="R49" s="64">
        <f t="shared" si="7"/>
        <v>0</v>
      </c>
      <c r="S49" s="93">
        <f t="shared" si="77"/>
        <v>14.017402385684608</v>
      </c>
      <c r="T49" s="94">
        <f t="shared" si="49"/>
        <v>1.76</v>
      </c>
      <c r="U49" s="95">
        <f t="shared" si="78"/>
        <v>14.017402385684608</v>
      </c>
      <c r="V49" s="64"/>
      <c r="W49" s="75">
        <f t="shared" si="43"/>
        <v>8.8</v>
      </c>
      <c r="X49" s="86">
        <f t="shared" si="44"/>
        <v>-0.014153846153845961</v>
      </c>
      <c r="Y49" s="64">
        <f t="shared" si="8"/>
        <v>1.0000591715976332</v>
      </c>
      <c r="Z49" s="64">
        <f t="shared" si="51"/>
        <v>-12.046371597633136</v>
      </c>
      <c r="AA49" s="64">
        <f t="shared" si="79"/>
        <v>36.08512340828402</v>
      </c>
      <c r="AB49" s="64">
        <f t="shared" si="80"/>
        <v>0.8752337844912049</v>
      </c>
      <c r="AC49" s="64">
        <f t="shared" si="81"/>
        <v>6.4604204176646745</v>
      </c>
      <c r="AD49" s="64">
        <f t="shared" si="82"/>
        <v>0.03554169552049751</v>
      </c>
      <c r="AE49" s="64">
        <f t="shared" si="52"/>
        <v>0.15408243796011045</v>
      </c>
      <c r="AF49" s="86">
        <f t="shared" si="83"/>
        <v>0.03200000000000003</v>
      </c>
      <c r="AG49" s="64">
        <f t="shared" si="53"/>
        <v>0.693370970820497</v>
      </c>
      <c r="AH49" s="64">
        <f t="shared" si="54"/>
        <v>0.6832638998143769</v>
      </c>
      <c r="AI49" s="87">
        <f t="shared" si="55"/>
        <v>0.010107071006120183</v>
      </c>
      <c r="AJ49" s="87">
        <f t="shared" si="84"/>
        <v>0</v>
      </c>
      <c r="AK49" s="88">
        <f t="shared" si="85"/>
        <v>261.8400000000009</v>
      </c>
      <c r="AL49" s="89">
        <f t="shared" si="86"/>
        <v>0</v>
      </c>
      <c r="AM49" s="90">
        <f t="shared" si="87"/>
        <v>255.8400000000009</v>
      </c>
      <c r="AN49" s="89">
        <f t="shared" si="56"/>
        <v>0</v>
      </c>
      <c r="AO49" s="89">
        <f t="shared" si="57"/>
        <v>0.06656000000000035</v>
      </c>
      <c r="AP49" s="91">
        <f t="shared" si="58"/>
        <v>0</v>
      </c>
      <c r="AQ49" s="89">
        <f t="shared" si="59"/>
        <v>0</v>
      </c>
      <c r="AR49" s="90">
        <f t="shared" si="88"/>
        <v>3.0135408560311285</v>
      </c>
      <c r="AS49" s="89">
        <f t="shared" si="60"/>
        <v>0</v>
      </c>
      <c r="AT49" s="90">
        <f t="shared" si="61"/>
        <v>3.0135408560311285</v>
      </c>
      <c r="AU49" s="89">
        <f t="shared" si="62"/>
        <v>0</v>
      </c>
      <c r="AV49" s="89">
        <f t="shared" si="63"/>
        <v>0</v>
      </c>
      <c r="AW49" s="89">
        <f t="shared" si="64"/>
        <v>0</v>
      </c>
      <c r="AX49" s="89">
        <f t="shared" si="65"/>
        <v>0</v>
      </c>
      <c r="AY49" s="89">
        <f t="shared" si="66"/>
        <v>0</v>
      </c>
      <c r="AZ49" s="90" t="b">
        <f t="shared" si="67"/>
        <v>0</v>
      </c>
      <c r="BA49" s="90" t="b">
        <f t="shared" si="68"/>
        <v>0</v>
      </c>
      <c r="BB49" s="64" t="b">
        <f t="shared" si="69"/>
        <v>0</v>
      </c>
      <c r="BC49" s="92">
        <f t="shared" si="70"/>
        <v>0</v>
      </c>
      <c r="BD49" s="90">
        <f t="shared" si="71"/>
        <v>0.07666707100612054</v>
      </c>
      <c r="BE49" s="64"/>
      <c r="BF49" s="90">
        <f t="shared" si="73"/>
        <v>0.07666707100612054</v>
      </c>
      <c r="BG49" s="64"/>
      <c r="BH49" s="64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57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</row>
    <row r="50" spans="1:203" ht="12.75">
      <c r="A50" s="64"/>
      <c r="B50" s="64"/>
      <c r="C50" s="64"/>
      <c r="D50" s="64"/>
      <c r="E50" s="64"/>
      <c r="F50" s="64">
        <f t="shared" si="48"/>
        <v>45</v>
      </c>
      <c r="G50" s="64">
        <f t="shared" si="72"/>
        <v>1.8</v>
      </c>
      <c r="H50" s="75">
        <v>1</v>
      </c>
      <c r="I50" s="64">
        <f t="shared" si="0"/>
        <v>-12</v>
      </c>
      <c r="J50" s="64">
        <f t="shared" si="89"/>
        <v>28.44</v>
      </c>
      <c r="K50" s="64">
        <f t="shared" si="90"/>
        <v>5.499090833947007</v>
      </c>
      <c r="L50" s="64">
        <f t="shared" si="74"/>
        <v>8.749545416973504</v>
      </c>
      <c r="M50" s="64">
        <f t="shared" si="91"/>
        <v>1.8</v>
      </c>
      <c r="N50" s="64">
        <f t="shared" si="92"/>
        <v>1.1592794807274087</v>
      </c>
      <c r="O50" s="64">
        <f t="shared" si="50"/>
        <v>3.5670304130892365</v>
      </c>
      <c r="P50" s="64">
        <f t="shared" si="75"/>
        <v>10.8</v>
      </c>
      <c r="Q50" s="64">
        <f t="shared" si="76"/>
        <v>0</v>
      </c>
      <c r="R50" s="64">
        <f t="shared" si="7"/>
        <v>0</v>
      </c>
      <c r="S50" s="93">
        <f t="shared" si="77"/>
        <v>14.367030413089237</v>
      </c>
      <c r="T50" s="94">
        <f t="shared" si="49"/>
        <v>1.8</v>
      </c>
      <c r="U50" s="95">
        <f t="shared" si="78"/>
        <v>14.367030413089237</v>
      </c>
      <c r="V50" s="64"/>
      <c r="W50" s="75">
        <f t="shared" si="43"/>
        <v>9</v>
      </c>
      <c r="X50" s="86">
        <f t="shared" si="44"/>
        <v>-0.013881118881118688</v>
      </c>
      <c r="Y50" s="64">
        <f t="shared" si="8"/>
        <v>1.0000591715976332</v>
      </c>
      <c r="Z50" s="64">
        <f t="shared" si="51"/>
        <v>-12.04636740182894</v>
      </c>
      <c r="AA50" s="64">
        <f t="shared" si="79"/>
        <v>36.0834793987481</v>
      </c>
      <c r="AB50" s="64">
        <f t="shared" si="80"/>
        <v>0.878925205212456</v>
      </c>
      <c r="AC50" s="64">
        <f t="shared" si="81"/>
        <v>6.4622639210401625</v>
      </c>
      <c r="AD50" s="64">
        <f t="shared" si="82"/>
        <v>0.03582860358842085</v>
      </c>
      <c r="AE50" s="64">
        <f t="shared" si="52"/>
        <v>0.15470433658056226</v>
      </c>
      <c r="AF50" s="86">
        <f t="shared" si="83"/>
        <v>0.0322727272727273</v>
      </c>
      <c r="AG50" s="64">
        <f t="shared" si="53"/>
        <v>0.6961695146125302</v>
      </c>
      <c r="AH50" s="64">
        <f t="shared" si="54"/>
        <v>0.6859366228343683</v>
      </c>
      <c r="AI50" s="87">
        <f t="shared" si="55"/>
        <v>0.01023289177816189</v>
      </c>
      <c r="AJ50" s="87">
        <f t="shared" si="84"/>
        <v>0</v>
      </c>
      <c r="AK50" s="88">
        <f>(h-X50)/DT</f>
        <v>261.80454545454637</v>
      </c>
      <c r="AL50" s="89">
        <f t="shared" si="86"/>
        <v>0</v>
      </c>
      <c r="AM50" s="90">
        <f t="shared" si="87"/>
        <v>255.80454545454637</v>
      </c>
      <c r="AN50" s="89">
        <f t="shared" si="56"/>
        <v>0</v>
      </c>
      <c r="AO50" s="89">
        <f t="shared" si="57"/>
        <v>0.06769938016528962</v>
      </c>
      <c r="AP50" s="91">
        <f t="shared" si="58"/>
        <v>0</v>
      </c>
      <c r="AQ50" s="89">
        <f t="shared" si="59"/>
        <v>0</v>
      </c>
      <c r="AR50" s="90">
        <f t="shared" si="88"/>
        <v>3.0139547223204812</v>
      </c>
      <c r="AS50" s="89">
        <f t="shared" si="60"/>
        <v>0</v>
      </c>
      <c r="AT50" s="90">
        <f t="shared" si="61"/>
        <v>3.0139547223204812</v>
      </c>
      <c r="AU50" s="89">
        <f t="shared" si="62"/>
        <v>0</v>
      </c>
      <c r="AV50" s="89">
        <f t="shared" si="63"/>
        <v>0</v>
      </c>
      <c r="AW50" s="89">
        <f t="shared" si="64"/>
        <v>0</v>
      </c>
      <c r="AX50" s="89">
        <f t="shared" si="65"/>
        <v>0</v>
      </c>
      <c r="AY50" s="89">
        <f t="shared" si="66"/>
        <v>0</v>
      </c>
      <c r="AZ50" s="90" t="b">
        <f t="shared" si="67"/>
        <v>0</v>
      </c>
      <c r="BA50" s="90" t="b">
        <f t="shared" si="68"/>
        <v>0</v>
      </c>
      <c r="BB50" s="64" t="b">
        <f t="shared" si="69"/>
        <v>0</v>
      </c>
      <c r="BC50" s="92">
        <f t="shared" si="70"/>
        <v>0</v>
      </c>
      <c r="BD50" s="90">
        <f t="shared" si="71"/>
        <v>0.07793227194345151</v>
      </c>
      <c r="BE50" s="64"/>
      <c r="BF50" s="90">
        <f t="shared" si="73"/>
        <v>0.07793227194345151</v>
      </c>
      <c r="BG50" s="64"/>
      <c r="BH50" s="64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</row>
    <row r="51" spans="1:203" ht="12.75">
      <c r="A51" s="64"/>
      <c r="B51" s="64"/>
      <c r="C51" s="64"/>
      <c r="D51" s="64"/>
      <c r="E51" s="64"/>
      <c r="F51" s="64">
        <f t="shared" si="48"/>
        <v>46</v>
      </c>
      <c r="G51" s="64">
        <f t="shared" si="72"/>
        <v>1.84</v>
      </c>
      <c r="H51" s="75">
        <v>1</v>
      </c>
      <c r="I51" s="64">
        <f t="shared" si="0"/>
        <v>-12</v>
      </c>
      <c r="J51" s="64">
        <f t="shared" si="89"/>
        <v>28.345599999999997</v>
      </c>
      <c r="K51" s="64">
        <f t="shared" si="90"/>
        <v>5.533317269052987</v>
      </c>
      <c r="L51" s="64">
        <f t="shared" si="74"/>
        <v>8.766658634526493</v>
      </c>
      <c r="M51" s="64">
        <f t="shared" si="91"/>
        <v>1.84</v>
      </c>
      <c r="N51" s="64">
        <f t="shared" si="92"/>
        <v>1.1737819532798148</v>
      </c>
      <c r="O51" s="64">
        <f t="shared" si="50"/>
        <v>3.6773567817338</v>
      </c>
      <c r="P51" s="64">
        <f t="shared" si="75"/>
        <v>11.040000000000001</v>
      </c>
      <c r="Q51" s="64">
        <f t="shared" si="76"/>
        <v>0</v>
      </c>
      <c r="R51" s="64">
        <f t="shared" si="7"/>
        <v>0</v>
      </c>
      <c r="S51" s="93">
        <f t="shared" si="77"/>
        <v>14.717356781733802</v>
      </c>
      <c r="T51" s="94">
        <f t="shared" si="49"/>
        <v>1.84</v>
      </c>
      <c r="U51" s="95">
        <f t="shared" si="78"/>
        <v>14.717356781733802</v>
      </c>
      <c r="V51" s="64"/>
      <c r="W51" s="75">
        <f t="shared" si="43"/>
        <v>9.2</v>
      </c>
      <c r="X51" s="86">
        <f t="shared" si="44"/>
        <v>-0.013608391608391416</v>
      </c>
      <c r="Y51" s="64">
        <f t="shared" si="8"/>
        <v>1.0000591715976332</v>
      </c>
      <c r="Z51" s="64">
        <f t="shared" si="51"/>
        <v>-12.046363206024745</v>
      </c>
      <c r="AA51" s="64">
        <f t="shared" si="79"/>
        <v>36.081835537972516</v>
      </c>
      <c r="AB51" s="64">
        <f t="shared" si="80"/>
        <v>0.8826008498519775</v>
      </c>
      <c r="AC51" s="64">
        <f t="shared" si="81"/>
        <v>6.464099536841506</v>
      </c>
      <c r="AD51" s="64">
        <f t="shared" si="82"/>
        <v>0.03611545098269692</v>
      </c>
      <c r="AE51" s="64">
        <f t="shared" si="52"/>
        <v>0.15532363429285367</v>
      </c>
      <c r="AF51" s="86">
        <f t="shared" si="83"/>
        <v>0.03254545454545457</v>
      </c>
      <c r="AG51" s="64">
        <f t="shared" si="53"/>
        <v>0.6989563543178415</v>
      </c>
      <c r="AH51" s="64">
        <f t="shared" si="54"/>
        <v>0.6885971400718387</v>
      </c>
      <c r="AI51" s="87">
        <f t="shared" si="55"/>
        <v>0.010359214246002835</v>
      </c>
      <c r="AJ51" s="87">
        <f t="shared" si="84"/>
        <v>0</v>
      </c>
      <c r="AK51" s="88">
        <f t="shared" si="85"/>
        <v>261.76909090909186</v>
      </c>
      <c r="AL51" s="89">
        <f t="shared" si="86"/>
        <v>0</v>
      </c>
      <c r="AM51" s="90">
        <f t="shared" si="87"/>
        <v>255.7690909090918</v>
      </c>
      <c r="AN51" s="89">
        <f t="shared" si="56"/>
        <v>0</v>
      </c>
      <c r="AO51" s="89">
        <f t="shared" si="57"/>
        <v>0.06884842975206647</v>
      </c>
      <c r="AP51" s="91">
        <f t="shared" si="58"/>
        <v>0</v>
      </c>
      <c r="AQ51" s="89">
        <f t="shared" si="59"/>
        <v>0</v>
      </c>
      <c r="AR51" s="90">
        <f t="shared" si="88"/>
        <v>3.014368588609834</v>
      </c>
      <c r="AS51" s="89">
        <f t="shared" si="60"/>
        <v>0</v>
      </c>
      <c r="AT51" s="90">
        <f t="shared" si="61"/>
        <v>3.0143685886098344</v>
      </c>
      <c r="AU51" s="89">
        <f t="shared" si="62"/>
        <v>0</v>
      </c>
      <c r="AV51" s="89">
        <f t="shared" si="63"/>
        <v>0</v>
      </c>
      <c r="AW51" s="89">
        <f t="shared" si="64"/>
        <v>0</v>
      </c>
      <c r="AX51" s="89">
        <f t="shared" si="65"/>
        <v>0</v>
      </c>
      <c r="AY51" s="89">
        <f t="shared" si="66"/>
        <v>0</v>
      </c>
      <c r="AZ51" s="90" t="b">
        <f t="shared" si="67"/>
        <v>0</v>
      </c>
      <c r="BA51" s="90" t="b">
        <f t="shared" si="68"/>
        <v>0</v>
      </c>
      <c r="BB51" s="64" t="b">
        <f t="shared" si="69"/>
        <v>0</v>
      </c>
      <c r="BC51" s="92">
        <f t="shared" si="70"/>
        <v>0</v>
      </c>
      <c r="BD51" s="90">
        <f t="shared" si="71"/>
        <v>0.0792076439980693</v>
      </c>
      <c r="BE51" s="64"/>
      <c r="BF51" s="90">
        <f t="shared" si="73"/>
        <v>0.0792076439980693</v>
      </c>
      <c r="BG51" s="64"/>
      <c r="BH51" s="64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</row>
    <row r="52" spans="1:203" ht="12.75">
      <c r="A52" s="64"/>
      <c r="B52" s="64"/>
      <c r="C52" s="64"/>
      <c r="D52" s="64"/>
      <c r="E52" s="64"/>
      <c r="F52" s="64">
        <f t="shared" si="48"/>
        <v>47</v>
      </c>
      <c r="G52" s="64">
        <f t="shared" si="72"/>
        <v>1.88</v>
      </c>
      <c r="H52" s="75">
        <v>1</v>
      </c>
      <c r="I52" s="64">
        <f t="shared" si="0"/>
        <v>-12</v>
      </c>
      <c r="J52" s="64">
        <f t="shared" si="89"/>
        <v>28.254399999999997</v>
      </c>
      <c r="K52" s="64">
        <f t="shared" si="90"/>
        <v>5.566183611775667</v>
      </c>
      <c r="L52" s="64">
        <f t="shared" si="74"/>
        <v>8.783091805887834</v>
      </c>
      <c r="M52" s="64">
        <f t="shared" si="91"/>
        <v>1.88</v>
      </c>
      <c r="N52" s="64">
        <f t="shared" si="92"/>
        <v>1.188196766271599</v>
      </c>
      <c r="O52" s="64">
        <f t="shared" si="50"/>
        <v>3.7883540369250097</v>
      </c>
      <c r="P52" s="64">
        <f t="shared" si="75"/>
        <v>11.28</v>
      </c>
      <c r="Q52" s="64">
        <f t="shared" si="76"/>
        <v>0</v>
      </c>
      <c r="R52" s="64">
        <f t="shared" si="7"/>
        <v>0</v>
      </c>
      <c r="S52" s="93">
        <f t="shared" si="77"/>
        <v>15.068354036925008</v>
      </c>
      <c r="T52" s="94">
        <f t="shared" si="49"/>
        <v>1.88</v>
      </c>
      <c r="U52" s="95">
        <f t="shared" si="78"/>
        <v>15.068354036925008</v>
      </c>
      <c r="V52" s="64"/>
      <c r="W52" s="75">
        <f t="shared" si="43"/>
        <v>9.399999999999999</v>
      </c>
      <c r="X52" s="86">
        <f t="shared" si="44"/>
        <v>-0.013335664335664143</v>
      </c>
      <c r="Y52" s="64">
        <f t="shared" si="8"/>
        <v>1.0000591715976332</v>
      </c>
      <c r="Z52" s="64">
        <f t="shared" si="51"/>
        <v>-12.046359010220549</v>
      </c>
      <c r="AA52" s="64">
        <f t="shared" si="79"/>
        <v>36.080191825957264</v>
      </c>
      <c r="AB52" s="64">
        <f t="shared" si="80"/>
        <v>0.8862609146970822</v>
      </c>
      <c r="AC52" s="64">
        <f t="shared" si="81"/>
        <v>6.465927363206554</v>
      </c>
      <c r="AD52" s="64">
        <f t="shared" si="82"/>
        <v>0.03640223845823225</v>
      </c>
      <c r="AE52" s="64">
        <f t="shared" si="52"/>
        <v>0.1559403636937564</v>
      </c>
      <c r="AF52" s="86">
        <f t="shared" si="83"/>
        <v>0.032818181818181844</v>
      </c>
      <c r="AG52" s="64">
        <f t="shared" si="53"/>
        <v>0.7017316366219039</v>
      </c>
      <c r="AH52" s="64">
        <f t="shared" si="54"/>
        <v>0.6912456003499422</v>
      </c>
      <c r="AI52" s="87">
        <f t="shared" si="55"/>
        <v>0.010486036271961652</v>
      </c>
      <c r="AJ52" s="87">
        <f t="shared" si="84"/>
        <v>0</v>
      </c>
      <c r="AK52" s="88">
        <f t="shared" si="85"/>
        <v>261.7336363636373</v>
      </c>
      <c r="AL52" s="89">
        <f t="shared" si="86"/>
        <v>0</v>
      </c>
      <c r="AM52" s="90">
        <f t="shared" si="87"/>
        <v>255.73363636363726</v>
      </c>
      <c r="AN52" s="89">
        <f t="shared" si="56"/>
        <v>0</v>
      </c>
      <c r="AO52" s="89">
        <f t="shared" si="57"/>
        <v>0.07000714876033094</v>
      </c>
      <c r="AP52" s="91">
        <f t="shared" si="58"/>
        <v>0</v>
      </c>
      <c r="AQ52" s="89">
        <f t="shared" si="59"/>
        <v>0</v>
      </c>
      <c r="AR52" s="90">
        <f t="shared" si="88"/>
        <v>3.0147824548991866</v>
      </c>
      <c r="AS52" s="89">
        <f t="shared" si="60"/>
        <v>0</v>
      </c>
      <c r="AT52" s="90">
        <f t="shared" si="61"/>
        <v>3.0147824548991866</v>
      </c>
      <c r="AU52" s="89">
        <f t="shared" si="62"/>
        <v>0</v>
      </c>
      <c r="AV52" s="89">
        <f t="shared" si="63"/>
        <v>0</v>
      </c>
      <c r="AW52" s="89">
        <f t="shared" si="64"/>
        <v>0</v>
      </c>
      <c r="AX52" s="89">
        <f t="shared" si="65"/>
        <v>0</v>
      </c>
      <c r="AY52" s="89">
        <f t="shared" si="66"/>
        <v>0</v>
      </c>
      <c r="AZ52" s="90" t="b">
        <f t="shared" si="67"/>
        <v>0</v>
      </c>
      <c r="BA52" s="90" t="b">
        <f t="shared" si="68"/>
        <v>0</v>
      </c>
      <c r="BB52" s="64" t="b">
        <f t="shared" si="69"/>
        <v>0</v>
      </c>
      <c r="BC52" s="92">
        <f t="shared" si="70"/>
        <v>0</v>
      </c>
      <c r="BD52" s="90">
        <f t="shared" si="71"/>
        <v>0.0804931850322926</v>
      </c>
      <c r="BE52" s="64"/>
      <c r="BF52" s="90">
        <f t="shared" si="73"/>
        <v>0.0804931850322926</v>
      </c>
      <c r="BG52" s="64"/>
      <c r="BH52" s="64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</row>
    <row r="53" spans="1:203" ht="12.75">
      <c r="A53" s="64"/>
      <c r="B53" s="64"/>
      <c r="C53" s="64"/>
      <c r="D53" s="64"/>
      <c r="E53" s="64"/>
      <c r="F53" s="64">
        <f t="shared" si="48"/>
        <v>48</v>
      </c>
      <c r="G53" s="64">
        <f t="shared" si="72"/>
        <v>1.92</v>
      </c>
      <c r="H53" s="75">
        <v>1</v>
      </c>
      <c r="I53" s="64">
        <f t="shared" si="0"/>
        <v>-12</v>
      </c>
      <c r="J53" s="64">
        <f t="shared" si="89"/>
        <v>28.1664</v>
      </c>
      <c r="K53" s="64">
        <f t="shared" si="90"/>
        <v>5.597713819051489</v>
      </c>
      <c r="L53" s="64">
        <f t="shared" si="74"/>
        <v>8.798856909525744</v>
      </c>
      <c r="M53" s="64">
        <f t="shared" si="91"/>
        <v>1.92</v>
      </c>
      <c r="N53" s="64">
        <f t="shared" si="92"/>
        <v>1.2025284333582564</v>
      </c>
      <c r="O53" s="64">
        <f t="shared" si="50"/>
        <v>3.899995218968253</v>
      </c>
      <c r="P53" s="64">
        <f t="shared" si="75"/>
        <v>11.52</v>
      </c>
      <c r="Q53" s="64">
        <f t="shared" si="76"/>
        <v>0</v>
      </c>
      <c r="R53" s="64">
        <f t="shared" si="7"/>
        <v>0</v>
      </c>
      <c r="S53" s="93">
        <f t="shared" si="77"/>
        <v>15.419995218968253</v>
      </c>
      <c r="T53" s="94">
        <f t="shared" si="49"/>
        <v>1.92</v>
      </c>
      <c r="U53" s="95">
        <f t="shared" si="78"/>
        <v>15.419995218968253</v>
      </c>
      <c r="V53" s="64"/>
      <c r="W53" s="75">
        <f t="shared" si="43"/>
        <v>9.599999999999998</v>
      </c>
      <c r="X53" s="86">
        <f t="shared" si="44"/>
        <v>-0.013062937062936871</v>
      </c>
      <c r="Y53" s="64">
        <f t="shared" si="8"/>
        <v>1.0000591715976332</v>
      </c>
      <c r="Z53" s="64">
        <f t="shared" si="51"/>
        <v>-12.046354814416352</v>
      </c>
      <c r="AA53" s="64">
        <f t="shared" si="79"/>
        <v>36.078548262702334</v>
      </c>
      <c r="AB53" s="64">
        <f t="shared" si="80"/>
        <v>0.8899055919808008</v>
      </c>
      <c r="AC53" s="64">
        <f t="shared" si="81"/>
        <v>6.467747496246135</v>
      </c>
      <c r="AD53" s="64">
        <f t="shared" si="82"/>
        <v>0.03668896675434091</v>
      </c>
      <c r="AE53" s="64">
        <f t="shared" si="52"/>
        <v>0.1565545567057931</v>
      </c>
      <c r="AF53" s="86">
        <f t="shared" si="83"/>
        <v>0.033090909090909115</v>
      </c>
      <c r="AG53" s="64">
        <f t="shared" si="53"/>
        <v>0.704495505176069</v>
      </c>
      <c r="AH53" s="64">
        <f t="shared" si="54"/>
        <v>0.6938821494313119</v>
      </c>
      <c r="AI53" s="87">
        <f t="shared" si="55"/>
        <v>0.01061335574475708</v>
      </c>
      <c r="AJ53" s="87">
        <f t="shared" si="84"/>
        <v>0</v>
      </c>
      <c r="AK53" s="88">
        <f t="shared" si="85"/>
        <v>261.6981818181827</v>
      </c>
      <c r="AL53" s="89">
        <f t="shared" si="86"/>
        <v>0</v>
      </c>
      <c r="AM53" s="90">
        <f t="shared" si="87"/>
        <v>255.69818181818272</v>
      </c>
      <c r="AN53" s="89">
        <f t="shared" si="56"/>
        <v>0</v>
      </c>
      <c r="AO53" s="89">
        <f t="shared" si="57"/>
        <v>0.071175537190083</v>
      </c>
      <c r="AP53" s="91">
        <f t="shared" si="58"/>
        <v>0</v>
      </c>
      <c r="AQ53" s="89">
        <f t="shared" si="59"/>
        <v>0</v>
      </c>
      <c r="AR53" s="90">
        <f t="shared" si="88"/>
        <v>3.0151963211885398</v>
      </c>
      <c r="AS53" s="89">
        <f t="shared" si="60"/>
        <v>0</v>
      </c>
      <c r="AT53" s="90">
        <f t="shared" si="61"/>
        <v>3.0151963211885393</v>
      </c>
      <c r="AU53" s="89">
        <f t="shared" si="62"/>
        <v>0</v>
      </c>
      <c r="AV53" s="89">
        <f t="shared" si="63"/>
        <v>0</v>
      </c>
      <c r="AW53" s="89">
        <f t="shared" si="64"/>
        <v>0</v>
      </c>
      <c r="AX53" s="89">
        <f t="shared" si="65"/>
        <v>0</v>
      </c>
      <c r="AY53" s="89">
        <f t="shared" si="66"/>
        <v>0</v>
      </c>
      <c r="AZ53" s="90" t="b">
        <f t="shared" si="67"/>
        <v>0</v>
      </c>
      <c r="BA53" s="90" t="b">
        <f t="shared" si="68"/>
        <v>0</v>
      </c>
      <c r="BB53" s="64" t="b">
        <f t="shared" si="69"/>
        <v>0</v>
      </c>
      <c r="BC53" s="92">
        <f t="shared" si="70"/>
        <v>0</v>
      </c>
      <c r="BD53" s="90">
        <f t="shared" si="71"/>
        <v>0.08178889293484008</v>
      </c>
      <c r="BE53" s="64"/>
      <c r="BF53" s="90">
        <f t="shared" si="73"/>
        <v>0.08178889293484008</v>
      </c>
      <c r="BG53" s="64"/>
      <c r="BH53" s="64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</row>
    <row r="54" spans="1:203" ht="12.75">
      <c r="A54" s="64"/>
      <c r="B54" s="64"/>
      <c r="C54" s="64"/>
      <c r="D54" s="64"/>
      <c r="E54" s="64"/>
      <c r="F54" s="64">
        <f t="shared" si="48"/>
        <v>49</v>
      </c>
      <c r="G54" s="64">
        <f t="shared" si="72"/>
        <v>1.96</v>
      </c>
      <c r="H54" s="75">
        <v>1</v>
      </c>
      <c r="I54" s="64">
        <f t="shared" si="0"/>
        <v>-12</v>
      </c>
      <c r="J54" s="64">
        <f t="shared" si="89"/>
        <v>28.0816</v>
      </c>
      <c r="K54" s="64">
        <f t="shared" si="90"/>
        <v>5.627930347827698</v>
      </c>
      <c r="L54" s="64">
        <f t="shared" si="74"/>
        <v>8.81396517391385</v>
      </c>
      <c r="M54" s="64">
        <f t="shared" si="91"/>
        <v>1.96</v>
      </c>
      <c r="N54" s="64">
        <f t="shared" si="92"/>
        <v>1.2167812716839381</v>
      </c>
      <c r="O54" s="64">
        <f t="shared" si="50"/>
        <v>4.01225383214252</v>
      </c>
      <c r="P54" s="64">
        <f t="shared" si="75"/>
        <v>11.76</v>
      </c>
      <c r="Q54" s="64">
        <f t="shared" si="76"/>
        <v>0</v>
      </c>
      <c r="R54" s="64">
        <f t="shared" si="7"/>
        <v>0</v>
      </c>
      <c r="S54" s="93">
        <f t="shared" si="77"/>
        <v>15.77225383214252</v>
      </c>
      <c r="T54" s="94">
        <f t="shared" si="49"/>
        <v>1.96</v>
      </c>
      <c r="U54" s="95">
        <f t="shared" si="78"/>
        <v>15.77225383214252</v>
      </c>
      <c r="V54" s="64"/>
      <c r="W54" s="75">
        <f t="shared" si="43"/>
        <v>9.799999999999997</v>
      </c>
      <c r="X54" s="86">
        <f t="shared" si="44"/>
        <v>-0.0127902097902096</v>
      </c>
      <c r="Y54" s="64">
        <f t="shared" si="8"/>
        <v>1.0000591715976332</v>
      </c>
      <c r="Z54" s="64">
        <f t="shared" si="51"/>
        <v>-12.046350618612157</v>
      </c>
      <c r="AA54" s="64">
        <f t="shared" si="79"/>
        <v>36.07690484820773</v>
      </c>
      <c r="AB54" s="64">
        <f t="shared" si="80"/>
        <v>0.8935350699980729</v>
      </c>
      <c r="AC54" s="64">
        <f t="shared" si="81"/>
        <v>6.46956003010215</v>
      </c>
      <c r="AD54" s="64">
        <f t="shared" si="82"/>
        <v>0.036975636595191375</v>
      </c>
      <c r="AE54" s="64">
        <f t="shared" si="52"/>
        <v>0.15716624459659445</v>
      </c>
      <c r="AF54" s="86">
        <f t="shared" si="83"/>
        <v>0.03336363636363639</v>
      </c>
      <c r="AG54" s="64">
        <f t="shared" si="53"/>
        <v>0.707248100684675</v>
      </c>
      <c r="AH54" s="64">
        <f t="shared" si="54"/>
        <v>0.6965069301056113</v>
      </c>
      <c r="AI54" s="87">
        <f t="shared" si="55"/>
        <v>0.010741170579063763</v>
      </c>
      <c r="AJ54" s="87">
        <f t="shared" si="84"/>
        <v>0</v>
      </c>
      <c r="AK54" s="88">
        <f t="shared" si="85"/>
        <v>261.66272727272815</v>
      </c>
      <c r="AL54" s="89">
        <f t="shared" si="86"/>
        <v>0</v>
      </c>
      <c r="AM54" s="90">
        <f t="shared" si="87"/>
        <v>255.66272727272818</v>
      </c>
      <c r="AN54" s="89">
        <f t="shared" si="56"/>
        <v>0</v>
      </c>
      <c r="AO54" s="89">
        <f t="shared" si="57"/>
        <v>0.07235359504132267</v>
      </c>
      <c r="AP54" s="91">
        <f t="shared" si="58"/>
        <v>0</v>
      </c>
      <c r="AQ54" s="89">
        <f t="shared" si="59"/>
        <v>0</v>
      </c>
      <c r="AR54" s="90">
        <f t="shared" si="88"/>
        <v>3.0156101874778924</v>
      </c>
      <c r="AS54" s="89">
        <f t="shared" si="60"/>
        <v>0</v>
      </c>
      <c r="AT54" s="90">
        <f t="shared" si="61"/>
        <v>3.0156101874778924</v>
      </c>
      <c r="AU54" s="89">
        <f t="shared" si="62"/>
        <v>0</v>
      </c>
      <c r="AV54" s="89">
        <f t="shared" si="63"/>
        <v>0</v>
      </c>
      <c r="AW54" s="89">
        <f t="shared" si="64"/>
        <v>0</v>
      </c>
      <c r="AX54" s="89">
        <f t="shared" si="65"/>
        <v>0</v>
      </c>
      <c r="AY54" s="89">
        <f t="shared" si="66"/>
        <v>0</v>
      </c>
      <c r="AZ54" s="90" t="b">
        <f t="shared" si="67"/>
        <v>0</v>
      </c>
      <c r="BA54" s="90" t="b">
        <f t="shared" si="68"/>
        <v>0</v>
      </c>
      <c r="BB54" s="64" t="b">
        <f t="shared" si="69"/>
        <v>0</v>
      </c>
      <c r="BC54" s="92">
        <f t="shared" si="70"/>
        <v>0</v>
      </c>
      <c r="BD54" s="90">
        <f t="shared" si="71"/>
        <v>0.08309476562038644</v>
      </c>
      <c r="BE54" s="64"/>
      <c r="BF54" s="90">
        <f t="shared" si="73"/>
        <v>0.08309476562038644</v>
      </c>
      <c r="BG54" s="64"/>
      <c r="BH54" s="64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</row>
    <row r="55" spans="1:203" ht="12.75">
      <c r="A55" s="64"/>
      <c r="B55" s="64"/>
      <c r="C55" s="64"/>
      <c r="D55" s="64"/>
      <c r="E55" s="64"/>
      <c r="F55" s="64">
        <f t="shared" si="48"/>
        <v>50</v>
      </c>
      <c r="G55" s="64">
        <f t="shared" si="72"/>
        <v>2</v>
      </c>
      <c r="H55" s="75">
        <v>1</v>
      </c>
      <c r="I55" s="64">
        <f t="shared" si="0"/>
        <v>-12</v>
      </c>
      <c r="J55" s="64">
        <f t="shared" si="89"/>
        <v>28</v>
      </c>
      <c r="K55" s="64">
        <f t="shared" si="90"/>
        <v>5.656854249492381</v>
      </c>
      <c r="L55" s="64">
        <f t="shared" si="74"/>
        <v>8.82842712474619</v>
      </c>
      <c r="M55" s="64">
        <f t="shared" si="91"/>
        <v>2</v>
      </c>
      <c r="N55" s="64">
        <f t="shared" si="92"/>
        <v>1.2309594173407747</v>
      </c>
      <c r="O55" s="64">
        <f t="shared" si="50"/>
        <v>4.12510381566039</v>
      </c>
      <c r="P55" s="64">
        <f t="shared" si="75"/>
        <v>12</v>
      </c>
      <c r="Q55" s="64">
        <f t="shared" si="76"/>
        <v>0</v>
      </c>
      <c r="R55" s="64">
        <f t="shared" si="7"/>
        <v>0</v>
      </c>
      <c r="S55" s="93">
        <f t="shared" si="77"/>
        <v>16.12510381566039</v>
      </c>
      <c r="T55" s="94">
        <f t="shared" si="49"/>
        <v>2</v>
      </c>
      <c r="U55" s="95">
        <f t="shared" si="78"/>
        <v>16.12510381566039</v>
      </c>
      <c r="V55" s="64"/>
      <c r="W55" s="75">
        <f t="shared" si="43"/>
        <v>9.999999999999996</v>
      </c>
      <c r="X55" s="86">
        <f t="shared" si="44"/>
        <v>-0.012517482517482326</v>
      </c>
      <c r="Y55" s="64">
        <f t="shared" si="8"/>
        <v>1.0000591715976332</v>
      </c>
      <c r="Z55" s="64">
        <f t="shared" si="51"/>
        <v>-12.04634642280796</v>
      </c>
      <c r="AA55" s="64">
        <f t="shared" si="79"/>
        <v>36.075261582473466</v>
      </c>
      <c r="AB55" s="64">
        <f t="shared" si="80"/>
        <v>0.8971495332177482</v>
      </c>
      <c r="AC55" s="64">
        <f t="shared" si="81"/>
        <v>6.471365057003563</v>
      </c>
      <c r="AD55" s="64">
        <f t="shared" si="82"/>
        <v>0.03726224869023722</v>
      </c>
      <c r="AE55" s="64">
        <f t="shared" si="52"/>
        <v>0.15777545799755321</v>
      </c>
      <c r="AF55" s="86">
        <f t="shared" si="83"/>
        <v>0.033636363636363666</v>
      </c>
      <c r="AG55" s="64">
        <f t="shared" si="53"/>
        <v>0.7099895609889895</v>
      </c>
      <c r="AH55" s="64">
        <f t="shared" si="54"/>
        <v>0.6991200822739213</v>
      </c>
      <c r="AI55" s="87">
        <f t="shared" si="55"/>
        <v>0.01086947871506816</v>
      </c>
      <c r="AJ55" s="87">
        <f t="shared" si="84"/>
        <v>0</v>
      </c>
      <c r="AK55" s="88">
        <f t="shared" si="85"/>
        <v>261.62727272727363</v>
      </c>
      <c r="AL55" s="89">
        <f t="shared" si="86"/>
        <v>0</v>
      </c>
      <c r="AM55" s="90">
        <f t="shared" si="87"/>
        <v>255.62727272727363</v>
      </c>
      <c r="AN55" s="89">
        <f t="shared" si="56"/>
        <v>0</v>
      </c>
      <c r="AO55" s="89">
        <f t="shared" si="57"/>
        <v>0.07354132231404997</v>
      </c>
      <c r="AP55" s="91">
        <f t="shared" si="58"/>
        <v>0</v>
      </c>
      <c r="AQ55" s="89">
        <f t="shared" si="59"/>
        <v>0</v>
      </c>
      <c r="AR55" s="90">
        <f t="shared" si="88"/>
        <v>3.0160240537672447</v>
      </c>
      <c r="AS55" s="89">
        <f t="shared" si="60"/>
        <v>0</v>
      </c>
      <c r="AT55" s="90">
        <f t="shared" si="61"/>
        <v>3.0160240537672447</v>
      </c>
      <c r="AU55" s="89">
        <f t="shared" si="62"/>
        <v>0</v>
      </c>
      <c r="AV55" s="89">
        <f t="shared" si="63"/>
        <v>0</v>
      </c>
      <c r="AW55" s="89">
        <f t="shared" si="64"/>
        <v>0</v>
      </c>
      <c r="AX55" s="89">
        <f t="shared" si="65"/>
        <v>0</v>
      </c>
      <c r="AY55" s="89">
        <f t="shared" si="66"/>
        <v>0</v>
      </c>
      <c r="AZ55" s="90" t="b">
        <f t="shared" si="67"/>
        <v>0</v>
      </c>
      <c r="BA55" s="90" t="b">
        <f t="shared" si="68"/>
        <v>0</v>
      </c>
      <c r="BB55" s="64" t="b">
        <f t="shared" si="69"/>
        <v>0</v>
      </c>
      <c r="BC55" s="92">
        <f t="shared" si="70"/>
        <v>0</v>
      </c>
      <c r="BD55" s="90">
        <f t="shared" si="71"/>
        <v>0.08441080102911813</v>
      </c>
      <c r="BE55" s="64"/>
      <c r="BF55" s="90">
        <f t="shared" si="73"/>
        <v>0.08441080102911813</v>
      </c>
      <c r="BG55" s="64"/>
      <c r="BH55" s="64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</row>
    <row r="56" spans="1:203" ht="12.75">
      <c r="A56" s="64"/>
      <c r="B56" s="64"/>
      <c r="C56" s="64"/>
      <c r="D56" s="64"/>
      <c r="E56" s="64"/>
      <c r="F56" s="64">
        <f t="shared" si="48"/>
        <v>51</v>
      </c>
      <c r="G56" s="64">
        <f t="shared" si="72"/>
        <v>2.04</v>
      </c>
      <c r="H56" s="75">
        <v>1</v>
      </c>
      <c r="I56" s="64">
        <f t="shared" si="0"/>
        <v>-12</v>
      </c>
      <c r="J56" s="64">
        <f t="shared" si="89"/>
        <v>27.921599999999998</v>
      </c>
      <c r="K56" s="64">
        <f t="shared" si="90"/>
        <v>5.684505255516966</v>
      </c>
      <c r="L56" s="64">
        <f t="shared" si="74"/>
        <v>8.842252627758484</v>
      </c>
      <c r="M56" s="64">
        <f t="shared" si="91"/>
        <v>2.04</v>
      </c>
      <c r="N56" s="64">
        <f t="shared" si="92"/>
        <v>1.2450668395002664</v>
      </c>
      <c r="O56" s="64">
        <f t="shared" si="50"/>
        <v>4.238519516427127</v>
      </c>
      <c r="P56" s="64">
        <f t="shared" si="75"/>
        <v>12</v>
      </c>
      <c r="Q56" s="64">
        <f t="shared" si="76"/>
        <v>0.0012000000000000023</v>
      </c>
      <c r="R56" s="64">
        <f t="shared" si="7"/>
        <v>0</v>
      </c>
      <c r="S56" s="93">
        <f t="shared" si="77"/>
        <v>16.237319516427124</v>
      </c>
      <c r="T56" s="94">
        <f t="shared" si="49"/>
        <v>2.04</v>
      </c>
      <c r="U56" s="95">
        <f t="shared" si="78"/>
        <v>16.237319516427124</v>
      </c>
      <c r="V56" s="64"/>
      <c r="W56" s="75">
        <f t="shared" si="43"/>
        <v>10.199999999999996</v>
      </c>
      <c r="X56" s="86">
        <f t="shared" si="44"/>
        <v>-0.012244755244755054</v>
      </c>
      <c r="Y56" s="64">
        <f t="shared" si="8"/>
        <v>1.0000591715976332</v>
      </c>
      <c r="Z56" s="64">
        <f t="shared" si="51"/>
        <v>-12.046342227003766</v>
      </c>
      <c r="AA56" s="64">
        <f t="shared" si="79"/>
        <v>36.07361846549953</v>
      </c>
      <c r="AB56" s="64">
        <f t="shared" si="80"/>
        <v>0.90074916239088</v>
      </c>
      <c r="AC56" s="64">
        <f t="shared" si="81"/>
        <v>6.473162667320558</v>
      </c>
      <c r="AD56" s="64">
        <f t="shared" si="82"/>
        <v>0.03754880373463368</v>
      </c>
      <c r="AE56" s="64">
        <f t="shared" si="52"/>
        <v>0.15838222692180004</v>
      </c>
      <c r="AF56" s="86">
        <f t="shared" si="83"/>
        <v>0.03390909090909094</v>
      </c>
      <c r="AG56" s="64">
        <f t="shared" si="53"/>
        <v>0.7127200211481002</v>
      </c>
      <c r="AH56" s="64">
        <f t="shared" si="54"/>
        <v>0.701721743030357</v>
      </c>
      <c r="AI56" s="87">
        <f t="shared" si="55"/>
        <v>0.010998278117743232</v>
      </c>
      <c r="AJ56" s="87">
        <f t="shared" si="84"/>
        <v>0</v>
      </c>
      <c r="AK56" s="88">
        <f t="shared" si="85"/>
        <v>261.59181818181906</v>
      </c>
      <c r="AL56" s="89">
        <f t="shared" si="86"/>
        <v>0</v>
      </c>
      <c r="AM56" s="90">
        <f t="shared" si="87"/>
        <v>255.5918181818191</v>
      </c>
      <c r="AN56" s="89">
        <f t="shared" si="56"/>
        <v>0</v>
      </c>
      <c r="AO56" s="89">
        <f t="shared" si="57"/>
        <v>0.07473871900826484</v>
      </c>
      <c r="AP56" s="91">
        <f t="shared" si="58"/>
        <v>0</v>
      </c>
      <c r="AQ56" s="89">
        <f t="shared" si="59"/>
        <v>0</v>
      </c>
      <c r="AR56" s="90">
        <f t="shared" si="88"/>
        <v>3.0164379200565974</v>
      </c>
      <c r="AS56" s="89">
        <f t="shared" si="60"/>
        <v>0</v>
      </c>
      <c r="AT56" s="90">
        <f t="shared" si="61"/>
        <v>3.0164379200565974</v>
      </c>
      <c r="AU56" s="89">
        <f t="shared" si="62"/>
        <v>0</v>
      </c>
      <c r="AV56" s="89">
        <f t="shared" si="63"/>
        <v>0</v>
      </c>
      <c r="AW56" s="89">
        <f t="shared" si="64"/>
        <v>0</v>
      </c>
      <c r="AX56" s="89">
        <f t="shared" si="65"/>
        <v>0</v>
      </c>
      <c r="AY56" s="89">
        <f t="shared" si="66"/>
        <v>0</v>
      </c>
      <c r="AZ56" s="90" t="b">
        <f t="shared" si="67"/>
        <v>0</v>
      </c>
      <c r="BA56" s="90" t="b">
        <f t="shared" si="68"/>
        <v>0</v>
      </c>
      <c r="BB56" s="64" t="b">
        <f t="shared" si="69"/>
        <v>0</v>
      </c>
      <c r="BC56" s="92">
        <f t="shared" si="70"/>
        <v>0</v>
      </c>
      <c r="BD56" s="90">
        <f t="shared" si="71"/>
        <v>0.08573699712600807</v>
      </c>
      <c r="BE56" s="64"/>
      <c r="BF56" s="90">
        <f t="shared" si="73"/>
        <v>0.08573699712600807</v>
      </c>
      <c r="BG56" s="64"/>
      <c r="BH56" s="64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</row>
    <row r="57" spans="1:203" ht="12.75">
      <c r="A57" s="64"/>
      <c r="B57" s="64"/>
      <c r="C57" s="64"/>
      <c r="D57" s="64"/>
      <c r="E57" s="64"/>
      <c r="F57" s="64">
        <f t="shared" si="48"/>
        <v>52</v>
      </c>
      <c r="G57" s="64">
        <f t="shared" si="72"/>
        <v>2.08</v>
      </c>
      <c r="H57" s="75">
        <v>1</v>
      </c>
      <c r="I57" s="64">
        <f t="shared" si="0"/>
        <v>-12</v>
      </c>
      <c r="J57" s="64">
        <f t="shared" si="89"/>
        <v>27.8464</v>
      </c>
      <c r="K57" s="64">
        <f t="shared" si="90"/>
        <v>5.710901855223919</v>
      </c>
      <c r="L57" s="64">
        <f t="shared" si="74"/>
        <v>8.85545092761196</v>
      </c>
      <c r="M57" s="64">
        <f t="shared" si="91"/>
        <v>2.08</v>
      </c>
      <c r="N57" s="64">
        <f t="shared" si="92"/>
        <v>1.2591073533630983</v>
      </c>
      <c r="O57" s="64">
        <f t="shared" si="50"/>
        <v>4.3524756634324415</v>
      </c>
      <c r="P57" s="64">
        <f t="shared" si="75"/>
        <v>12</v>
      </c>
      <c r="Q57" s="64">
        <f t="shared" si="76"/>
        <v>0.004800000000000009</v>
      </c>
      <c r="R57" s="64">
        <f t="shared" si="7"/>
        <v>0</v>
      </c>
      <c r="S57" s="93">
        <f t="shared" si="77"/>
        <v>16.347675663432444</v>
      </c>
      <c r="T57" s="94">
        <f t="shared" si="49"/>
        <v>2.08</v>
      </c>
      <c r="U57" s="95">
        <f t="shared" si="78"/>
        <v>16.347675663432444</v>
      </c>
      <c r="V57" s="64"/>
      <c r="W57" s="75">
        <f t="shared" si="43"/>
        <v>10.399999999999995</v>
      </c>
      <c r="X57" s="86">
        <f t="shared" si="44"/>
        <v>-0.011972027972027783</v>
      </c>
      <c r="Y57" s="64">
        <f t="shared" si="8"/>
        <v>1.0000591715976332</v>
      </c>
      <c r="Z57" s="64">
        <f t="shared" si="51"/>
        <v>-12.04633803119957</v>
      </c>
      <c r="AA57" s="64">
        <f t="shared" si="79"/>
        <v>36.07197549728593</v>
      </c>
      <c r="AB57" s="64">
        <f t="shared" si="80"/>
        <v>0.9043341346546203</v>
      </c>
      <c r="AC57" s="64">
        <f t="shared" si="81"/>
        <v>6.474952949616466</v>
      </c>
      <c r="AD57" s="64">
        <f t="shared" si="82"/>
        <v>0.037835302409637166</v>
      </c>
      <c r="AE57" s="64">
        <f t="shared" si="52"/>
        <v>0.15898658078153005</v>
      </c>
      <c r="AF57" s="86">
        <f t="shared" si="83"/>
        <v>0.03418181818181821</v>
      </c>
      <c r="AG57" s="64">
        <f t="shared" si="53"/>
        <v>0.7154396135168852</v>
      </c>
      <c r="AH57" s="64">
        <f t="shared" si="54"/>
        <v>0.7043120467403454</v>
      </c>
      <c r="AI57" s="87">
        <f t="shared" si="55"/>
        <v>0.01112756677653981</v>
      </c>
      <c r="AJ57" s="87">
        <f t="shared" si="84"/>
        <v>0</v>
      </c>
      <c r="AK57" s="88">
        <f t="shared" si="85"/>
        <v>261.55636363636455</v>
      </c>
      <c r="AL57" s="89">
        <f t="shared" si="86"/>
        <v>0</v>
      </c>
      <c r="AM57" s="90">
        <f t="shared" si="87"/>
        <v>255.55636363636452</v>
      </c>
      <c r="AN57" s="89">
        <f t="shared" si="56"/>
        <v>0</v>
      </c>
      <c r="AO57" s="89">
        <f t="shared" si="57"/>
        <v>0.07594578512396732</v>
      </c>
      <c r="AP57" s="91">
        <f t="shared" si="58"/>
        <v>0</v>
      </c>
      <c r="AQ57" s="89">
        <f t="shared" si="59"/>
        <v>0</v>
      </c>
      <c r="AR57" s="90">
        <f t="shared" si="88"/>
        <v>3.01685178634595</v>
      </c>
      <c r="AS57" s="89">
        <f t="shared" si="60"/>
        <v>0</v>
      </c>
      <c r="AT57" s="90">
        <f t="shared" si="61"/>
        <v>3.01685178634595</v>
      </c>
      <c r="AU57" s="89">
        <f t="shared" si="62"/>
        <v>0</v>
      </c>
      <c r="AV57" s="89">
        <f t="shared" si="63"/>
        <v>0</v>
      </c>
      <c r="AW57" s="89">
        <f t="shared" si="64"/>
        <v>0</v>
      </c>
      <c r="AX57" s="89">
        <f t="shared" si="65"/>
        <v>0</v>
      </c>
      <c r="AY57" s="89">
        <f t="shared" si="66"/>
        <v>0</v>
      </c>
      <c r="AZ57" s="90" t="b">
        <f t="shared" si="67"/>
        <v>0</v>
      </c>
      <c r="BA57" s="90" t="b">
        <f t="shared" si="68"/>
        <v>0</v>
      </c>
      <c r="BB57" s="64" t="b">
        <f t="shared" si="69"/>
        <v>0</v>
      </c>
      <c r="BC57" s="92">
        <f t="shared" si="70"/>
        <v>0</v>
      </c>
      <c r="BD57" s="90">
        <f t="shared" si="71"/>
        <v>0.08707335190050713</v>
      </c>
      <c r="BE57" s="64"/>
      <c r="BF57" s="90">
        <f t="shared" si="73"/>
        <v>0.08707335190050713</v>
      </c>
      <c r="BG57" s="64"/>
      <c r="BH57" s="64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</row>
    <row r="58" spans="1:203" ht="12.75">
      <c r="A58" s="64"/>
      <c r="B58" s="64"/>
      <c r="C58" s="64"/>
      <c r="D58" s="64"/>
      <c r="E58" s="64"/>
      <c r="F58" s="64">
        <f t="shared" si="48"/>
        <v>53</v>
      </c>
      <c r="G58" s="64">
        <f t="shared" si="72"/>
        <v>2.12</v>
      </c>
      <c r="H58" s="75">
        <v>1</v>
      </c>
      <c r="I58" s="64">
        <f t="shared" si="0"/>
        <v>-12</v>
      </c>
      <c r="J58" s="64">
        <f t="shared" si="89"/>
        <v>27.7744</v>
      </c>
      <c r="K58" s="64">
        <f t="shared" si="90"/>
        <v>5.736061366477872</v>
      </c>
      <c r="L58" s="64">
        <f t="shared" si="74"/>
        <v>8.868030683238937</v>
      </c>
      <c r="M58" s="64">
        <f t="shared" si="91"/>
        <v>2.12</v>
      </c>
      <c r="N58" s="64">
        <f t="shared" si="92"/>
        <v>1.2730846320557205</v>
      </c>
      <c r="O58" s="64">
        <f t="shared" si="50"/>
        <v>4.466947343625611</v>
      </c>
      <c r="P58" s="64">
        <f t="shared" si="75"/>
        <v>12</v>
      </c>
      <c r="Q58" s="64">
        <f t="shared" si="76"/>
        <v>0.01080000000000002</v>
      </c>
      <c r="R58" s="64">
        <f t="shared" si="7"/>
        <v>0</v>
      </c>
      <c r="S58" s="93">
        <f t="shared" si="77"/>
        <v>16.456147343625613</v>
      </c>
      <c r="T58" s="94">
        <f t="shared" si="49"/>
        <v>2.12</v>
      </c>
      <c r="U58" s="95">
        <f t="shared" si="78"/>
        <v>16.456147343625613</v>
      </c>
      <c r="V58" s="64"/>
      <c r="W58" s="75">
        <f t="shared" si="43"/>
        <v>10.599999999999994</v>
      </c>
      <c r="X58" s="86">
        <f t="shared" si="44"/>
        <v>-0.01169930069930051</v>
      </c>
      <c r="Y58" s="64">
        <f t="shared" si="8"/>
        <v>1.0000591715976332</v>
      </c>
      <c r="Z58" s="64">
        <f t="shared" si="51"/>
        <v>-12.046333835395373</v>
      </c>
      <c r="AA58" s="64">
        <f t="shared" si="79"/>
        <v>36.07033267783266</v>
      </c>
      <c r="AB58" s="64">
        <f t="shared" si="80"/>
        <v>0.9079046236328688</v>
      </c>
      <c r="AC58" s="64">
        <f t="shared" si="81"/>
        <v>6.476735990698102</v>
      </c>
      <c r="AD58" s="64">
        <f t="shared" si="82"/>
        <v>0.03812174538299241</v>
      </c>
      <c r="AE58" s="64">
        <f t="shared" si="52"/>
        <v>0.1595885484047137</v>
      </c>
      <c r="AF58" s="86">
        <f t="shared" si="83"/>
        <v>0.03445454545454548</v>
      </c>
      <c r="AG58" s="64">
        <f t="shared" si="53"/>
        <v>0.7181484678212117</v>
      </c>
      <c r="AH58" s="64">
        <f t="shared" si="54"/>
        <v>0.7068911251164901</v>
      </c>
      <c r="AI58" s="87">
        <f t="shared" si="55"/>
        <v>0.011257342704721562</v>
      </c>
      <c r="AJ58" s="87">
        <f t="shared" si="84"/>
        <v>0</v>
      </c>
      <c r="AK58" s="88">
        <f t="shared" si="85"/>
        <v>261.52090909091004</v>
      </c>
      <c r="AL58" s="89">
        <f t="shared" si="86"/>
        <v>0</v>
      </c>
      <c r="AM58" s="90">
        <f t="shared" si="87"/>
        <v>255.52090909090998</v>
      </c>
      <c r="AN58" s="89">
        <f t="shared" si="56"/>
        <v>0</v>
      </c>
      <c r="AO58" s="89">
        <f t="shared" si="57"/>
        <v>0.07716252066115742</v>
      </c>
      <c r="AP58" s="91">
        <f t="shared" si="58"/>
        <v>0</v>
      </c>
      <c r="AQ58" s="89">
        <f t="shared" si="59"/>
        <v>0</v>
      </c>
      <c r="AR58" s="90">
        <f t="shared" si="88"/>
        <v>3.0172656526353023</v>
      </c>
      <c r="AS58" s="89">
        <f t="shared" si="60"/>
        <v>0</v>
      </c>
      <c r="AT58" s="90">
        <f t="shared" si="61"/>
        <v>3.0172656526353028</v>
      </c>
      <c r="AU58" s="89">
        <f t="shared" si="62"/>
        <v>0</v>
      </c>
      <c r="AV58" s="89">
        <f t="shared" si="63"/>
        <v>0</v>
      </c>
      <c r="AW58" s="89">
        <f t="shared" si="64"/>
        <v>0</v>
      </c>
      <c r="AX58" s="89">
        <f t="shared" si="65"/>
        <v>0</v>
      </c>
      <c r="AY58" s="89">
        <f t="shared" si="66"/>
        <v>0</v>
      </c>
      <c r="AZ58" s="90" t="b">
        <f t="shared" si="67"/>
        <v>0</v>
      </c>
      <c r="BA58" s="90" t="b">
        <f t="shared" si="68"/>
        <v>0</v>
      </c>
      <c r="BB58" s="64" t="b">
        <f t="shared" si="69"/>
        <v>0</v>
      </c>
      <c r="BC58" s="92">
        <f t="shared" si="70"/>
        <v>0</v>
      </c>
      <c r="BD58" s="90">
        <f t="shared" si="71"/>
        <v>0.08841986336587898</v>
      </c>
      <c r="BE58" s="64"/>
      <c r="BF58" s="90">
        <f t="shared" si="73"/>
        <v>0.08841986336587898</v>
      </c>
      <c r="BG58" s="64"/>
      <c r="BH58" s="64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</row>
    <row r="59" spans="1:203" ht="12.75">
      <c r="A59" s="64"/>
      <c r="B59" s="64"/>
      <c r="C59" s="64"/>
      <c r="D59" s="64"/>
      <c r="E59" s="64"/>
      <c r="F59" s="64">
        <f t="shared" si="48"/>
        <v>54</v>
      </c>
      <c r="G59" s="64">
        <f t="shared" si="72"/>
        <v>2.16</v>
      </c>
      <c r="H59" s="75">
        <v>1</v>
      </c>
      <c r="I59" s="64">
        <f t="shared" si="0"/>
        <v>-12</v>
      </c>
      <c r="J59" s="64">
        <f t="shared" si="89"/>
        <v>27.705599999999997</v>
      </c>
      <c r="K59" s="64">
        <f t="shared" si="90"/>
        <v>5.760000000000001</v>
      </c>
      <c r="L59" s="64">
        <f t="shared" si="74"/>
        <v>8.88</v>
      </c>
      <c r="M59" s="64">
        <f t="shared" si="91"/>
        <v>2.16</v>
      </c>
      <c r="N59" s="64">
        <f t="shared" si="92"/>
        <v>1.2870022175865687</v>
      </c>
      <c r="O59" s="64">
        <f t="shared" si="50"/>
        <v>4.58190997913956</v>
      </c>
      <c r="P59" s="64">
        <f t="shared" si="75"/>
        <v>12</v>
      </c>
      <c r="Q59" s="64">
        <f t="shared" si="76"/>
        <v>0.019200000000000036</v>
      </c>
      <c r="R59" s="64">
        <f t="shared" si="7"/>
        <v>0</v>
      </c>
      <c r="S59" s="93">
        <f t="shared" si="77"/>
        <v>16.56270997913956</v>
      </c>
      <c r="T59" s="94">
        <f t="shared" si="49"/>
        <v>2.16</v>
      </c>
      <c r="U59" s="95">
        <f t="shared" si="78"/>
        <v>16.56270997913956</v>
      </c>
      <c r="V59" s="64"/>
      <c r="W59" s="75">
        <f t="shared" si="43"/>
        <v>10.799999999999994</v>
      </c>
      <c r="X59" s="86">
        <f t="shared" si="44"/>
        <v>-0.011426573426573237</v>
      </c>
      <c r="Y59" s="64">
        <f t="shared" si="8"/>
        <v>1.0000591715976332</v>
      </c>
      <c r="Z59" s="64">
        <f t="shared" si="51"/>
        <v>-12.046329639591178</v>
      </c>
      <c r="AA59" s="64">
        <f t="shared" si="79"/>
        <v>36.068690007139715</v>
      </c>
      <c r="AB59" s="64">
        <f t="shared" si="80"/>
        <v>0.9114607995328264</v>
      </c>
      <c r="AC59" s="64">
        <f t="shared" si="81"/>
        <v>6.478511875664033</v>
      </c>
      <c r="AD59" s="64">
        <f t="shared" si="82"/>
        <v>0.03840813330930376</v>
      </c>
      <c r="AE59" s="64">
        <f t="shared" si="52"/>
        <v>0.16018815805120523</v>
      </c>
      <c r="AF59" s="86">
        <f t="shared" si="83"/>
        <v>0.03472727272727275</v>
      </c>
      <c r="AG59" s="64">
        <f t="shared" si="53"/>
        <v>0.7208467112304235</v>
      </c>
      <c r="AH59" s="64">
        <f t="shared" si="54"/>
        <v>0.7094591072913375</v>
      </c>
      <c r="AI59" s="87">
        <f t="shared" si="55"/>
        <v>0.011387603939086</v>
      </c>
      <c r="AJ59" s="87">
        <f t="shared" si="84"/>
        <v>0</v>
      </c>
      <c r="AK59" s="88">
        <f t="shared" si="85"/>
        <v>261.4854545454554</v>
      </c>
      <c r="AL59" s="89">
        <f t="shared" si="86"/>
        <v>0</v>
      </c>
      <c r="AM59" s="90">
        <f t="shared" si="87"/>
        <v>255.48545454545547</v>
      </c>
      <c r="AN59" s="89">
        <f t="shared" si="56"/>
        <v>0</v>
      </c>
      <c r="AO59" s="89">
        <f t="shared" si="57"/>
        <v>0.0783889256198351</v>
      </c>
      <c r="AP59" s="91">
        <f t="shared" si="58"/>
        <v>0</v>
      </c>
      <c r="AQ59" s="89">
        <f t="shared" si="59"/>
        <v>0</v>
      </c>
      <c r="AR59" s="90">
        <f t="shared" si="88"/>
        <v>3.017679518924656</v>
      </c>
      <c r="AS59" s="89">
        <f t="shared" si="60"/>
        <v>0</v>
      </c>
      <c r="AT59" s="90">
        <f t="shared" si="61"/>
        <v>3.0176795189246555</v>
      </c>
      <c r="AU59" s="89">
        <f t="shared" si="62"/>
        <v>0</v>
      </c>
      <c r="AV59" s="89">
        <f t="shared" si="63"/>
        <v>0</v>
      </c>
      <c r="AW59" s="89">
        <f t="shared" si="64"/>
        <v>0</v>
      </c>
      <c r="AX59" s="89">
        <f t="shared" si="65"/>
        <v>0</v>
      </c>
      <c r="AY59" s="89">
        <f t="shared" si="66"/>
        <v>0</v>
      </c>
      <c r="AZ59" s="90" t="b">
        <f t="shared" si="67"/>
        <v>0</v>
      </c>
      <c r="BA59" s="90" t="b">
        <f t="shared" si="68"/>
        <v>0</v>
      </c>
      <c r="BB59" s="64" t="b">
        <f t="shared" si="69"/>
        <v>0</v>
      </c>
      <c r="BC59" s="92">
        <f t="shared" si="70"/>
        <v>0</v>
      </c>
      <c r="BD59" s="90">
        <f t="shared" si="71"/>
        <v>0.0897765295589211</v>
      </c>
      <c r="BE59" s="64"/>
      <c r="BF59" s="90">
        <f t="shared" si="73"/>
        <v>0.0897765295589211</v>
      </c>
      <c r="BG59" s="64"/>
      <c r="BH59" s="64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</row>
    <row r="60" spans="1:203" ht="12.75">
      <c r="A60" s="64"/>
      <c r="B60" s="64"/>
      <c r="C60" s="64"/>
      <c r="D60" s="64"/>
      <c r="E60" s="64"/>
      <c r="F60" s="64">
        <f t="shared" si="48"/>
        <v>55</v>
      </c>
      <c r="G60" s="64">
        <f t="shared" si="72"/>
        <v>2.2</v>
      </c>
      <c r="H60" s="75">
        <v>1</v>
      </c>
      <c r="I60" s="64">
        <f t="shared" si="0"/>
        <v>-12</v>
      </c>
      <c r="J60" s="64">
        <f t="shared" si="89"/>
        <v>27.64</v>
      </c>
      <c r="K60" s="64">
        <f t="shared" si="90"/>
        <v>5.782732917920384</v>
      </c>
      <c r="L60" s="64">
        <f t="shared" si="74"/>
        <v>8.891366458960192</v>
      </c>
      <c r="M60" s="64">
        <f t="shared" si="91"/>
        <v>2.2</v>
      </c>
      <c r="N60" s="64">
        <f t="shared" si="92"/>
        <v>1.300863530961493</v>
      </c>
      <c r="O60" s="64">
        <f t="shared" si="50"/>
        <v>4.697339305742643</v>
      </c>
      <c r="P60" s="64">
        <f t="shared" si="75"/>
        <v>12</v>
      </c>
      <c r="Q60" s="64">
        <f t="shared" si="76"/>
        <v>0.030000000000000054</v>
      </c>
      <c r="R60" s="64">
        <f t="shared" si="7"/>
        <v>0</v>
      </c>
      <c r="S60" s="93">
        <f t="shared" si="77"/>
        <v>16.667339305742644</v>
      </c>
      <c r="T60" s="94">
        <f t="shared" si="49"/>
        <v>2.2</v>
      </c>
      <c r="U60" s="95">
        <f t="shared" si="78"/>
        <v>16.667339305742644</v>
      </c>
      <c r="V60" s="64"/>
      <c r="W60" s="75">
        <f t="shared" si="43"/>
        <v>10.999999999999993</v>
      </c>
      <c r="X60" s="86">
        <f t="shared" si="44"/>
        <v>-0.011153846153845964</v>
      </c>
      <c r="Y60" s="64">
        <f t="shared" si="8"/>
        <v>1.0000591715976332</v>
      </c>
      <c r="Z60" s="64">
        <f t="shared" si="51"/>
        <v>-12.046325443786982</v>
      </c>
      <c r="AA60" s="64">
        <f t="shared" si="79"/>
        <v>36.0670474852071</v>
      </c>
      <c r="AB60" s="64">
        <f t="shared" si="80"/>
        <v>0.9150028292386768</v>
      </c>
      <c r="AC60" s="64">
        <f t="shared" si="81"/>
        <v>6.480280687951412</v>
      </c>
      <c r="AD60" s="64">
        <f t="shared" si="82"/>
        <v>0.038694466830395485</v>
      </c>
      <c r="AE60" s="64">
        <f t="shared" si="52"/>
        <v>0.1607854374283002</v>
      </c>
      <c r="AF60" s="86">
        <f t="shared" si="83"/>
        <v>0.035000000000000024</v>
      </c>
      <c r="AG60" s="64">
        <f t="shared" si="53"/>
        <v>0.7235344684273509</v>
      </c>
      <c r="AH60" s="64">
        <f t="shared" si="54"/>
        <v>0.7120161198879681</v>
      </c>
      <c r="AI60" s="87">
        <f t="shared" si="55"/>
        <v>0.011518348539382828</v>
      </c>
      <c r="AJ60" s="87">
        <f t="shared" si="84"/>
        <v>0</v>
      </c>
      <c r="AK60" s="88">
        <f t="shared" si="85"/>
        <v>261.4500000000009</v>
      </c>
      <c r="AL60" s="89">
        <f t="shared" si="86"/>
        <v>0</v>
      </c>
      <c r="AM60" s="90">
        <f t="shared" si="87"/>
        <v>255.45000000000093</v>
      </c>
      <c r="AN60" s="89">
        <f t="shared" si="56"/>
        <v>0</v>
      </c>
      <c r="AO60" s="89">
        <f t="shared" si="57"/>
        <v>0.07962500000000039</v>
      </c>
      <c r="AP60" s="91">
        <f t="shared" si="58"/>
        <v>0</v>
      </c>
      <c r="AQ60" s="89">
        <f t="shared" si="59"/>
        <v>0</v>
      </c>
      <c r="AR60" s="90">
        <f t="shared" si="88"/>
        <v>3.018093385214008</v>
      </c>
      <c r="AS60" s="89">
        <f t="shared" si="60"/>
        <v>0</v>
      </c>
      <c r="AT60" s="90">
        <f t="shared" si="61"/>
        <v>3.018093385214008</v>
      </c>
      <c r="AU60" s="89">
        <f t="shared" si="62"/>
        <v>0</v>
      </c>
      <c r="AV60" s="89">
        <f t="shared" si="63"/>
        <v>0</v>
      </c>
      <c r="AW60" s="89">
        <f t="shared" si="64"/>
        <v>0</v>
      </c>
      <c r="AX60" s="89">
        <f t="shared" si="65"/>
        <v>0</v>
      </c>
      <c r="AY60" s="89">
        <f t="shared" si="66"/>
        <v>0</v>
      </c>
      <c r="AZ60" s="90" t="b">
        <f t="shared" si="67"/>
        <v>0</v>
      </c>
      <c r="BA60" s="90" t="b">
        <f t="shared" si="68"/>
        <v>0</v>
      </c>
      <c r="BB60" s="64" t="b">
        <f t="shared" si="69"/>
        <v>0</v>
      </c>
      <c r="BC60" s="92">
        <f t="shared" si="70"/>
        <v>0</v>
      </c>
      <c r="BD60" s="90">
        <f t="shared" si="71"/>
        <v>0.09114334853938322</v>
      </c>
      <c r="BE60" s="64"/>
      <c r="BF60" s="90">
        <f t="shared" si="73"/>
        <v>0.09114334853938322</v>
      </c>
      <c r="BG60" s="64"/>
      <c r="BH60" s="64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</row>
    <row r="61" spans="1:203" ht="12.75">
      <c r="A61" s="64"/>
      <c r="B61" s="64"/>
      <c r="C61" s="64"/>
      <c r="D61" s="64"/>
      <c r="E61" s="64"/>
      <c r="F61" s="64">
        <f t="shared" si="48"/>
        <v>56</v>
      </c>
      <c r="G61" s="64">
        <f t="shared" si="72"/>
        <v>2.24</v>
      </c>
      <c r="H61" s="75">
        <v>1</v>
      </c>
      <c r="I61" s="64">
        <f t="shared" si="0"/>
        <v>-12</v>
      </c>
      <c r="J61" s="64">
        <f t="shared" si="89"/>
        <v>27.5776</v>
      </c>
      <c r="K61" s="64">
        <f t="shared" si="90"/>
        <v>5.8042742871094575</v>
      </c>
      <c r="L61" s="64">
        <f t="shared" si="74"/>
        <v>8.902137143554729</v>
      </c>
      <c r="M61" s="64">
        <f t="shared" si="91"/>
        <v>2.24</v>
      </c>
      <c r="N61" s="64">
        <f t="shared" si="92"/>
        <v>1.3146718815464935</v>
      </c>
      <c r="O61" s="64">
        <f t="shared" si="50"/>
        <v>4.813211352408424</v>
      </c>
      <c r="P61" s="64">
        <f t="shared" si="75"/>
        <v>12</v>
      </c>
      <c r="Q61" s="64">
        <f t="shared" si="76"/>
        <v>0.04320000000000008</v>
      </c>
      <c r="R61" s="64">
        <f t="shared" si="7"/>
        <v>0</v>
      </c>
      <c r="S61" s="93">
        <f t="shared" si="77"/>
        <v>16.770011352408424</v>
      </c>
      <c r="T61" s="94">
        <f t="shared" si="49"/>
        <v>2.24</v>
      </c>
      <c r="U61" s="95">
        <f t="shared" si="78"/>
        <v>16.770011352408424</v>
      </c>
      <c r="V61" s="64"/>
      <c r="W61" s="75">
        <f t="shared" si="43"/>
        <v>11.199999999999992</v>
      </c>
      <c r="X61" s="86">
        <f t="shared" si="44"/>
        <v>-0.010881118881118692</v>
      </c>
      <c r="Y61" s="64">
        <f t="shared" si="8"/>
        <v>1.0000591715976332</v>
      </c>
      <c r="Z61" s="64">
        <f t="shared" si="51"/>
        <v>-12.046321247982787</v>
      </c>
      <c r="AA61" s="64">
        <f t="shared" si="79"/>
        <v>36.06540511203482</v>
      </c>
      <c r="AB61" s="64">
        <f t="shared" si="80"/>
        <v>0.9185308764016618</v>
      </c>
      <c r="AC61" s="64">
        <f t="shared" si="81"/>
        <v>6.482042509381017</v>
      </c>
      <c r="AD61" s="64">
        <f t="shared" si="82"/>
        <v>0.038980746575658184</v>
      </c>
      <c r="AE61" s="64">
        <f t="shared" si="52"/>
        <v>0.16138041370573197</v>
      </c>
      <c r="AF61" s="86">
        <f t="shared" si="83"/>
        <v>0.035272727272727296</v>
      </c>
      <c r="AG61" s="64">
        <f t="shared" si="53"/>
        <v>0.7262118616757939</v>
      </c>
      <c r="AH61" s="64">
        <f t="shared" si="54"/>
        <v>0.7145622870878969</v>
      </c>
      <c r="AI61" s="87">
        <f t="shared" si="55"/>
        <v>0.01164957458789695</v>
      </c>
      <c r="AJ61" s="87">
        <f t="shared" si="84"/>
        <v>0</v>
      </c>
      <c r="AK61" s="88">
        <f t="shared" si="85"/>
        <v>261.4145454545463</v>
      </c>
      <c r="AL61" s="89">
        <f t="shared" si="86"/>
        <v>0</v>
      </c>
      <c r="AM61" s="90">
        <f t="shared" si="87"/>
        <v>255.41454545454636</v>
      </c>
      <c r="AN61" s="89">
        <f t="shared" si="56"/>
        <v>0</v>
      </c>
      <c r="AO61" s="89">
        <f t="shared" si="57"/>
        <v>0.08087074380165328</v>
      </c>
      <c r="AP61" s="91">
        <f t="shared" si="58"/>
        <v>0</v>
      </c>
      <c r="AQ61" s="89">
        <f t="shared" si="59"/>
        <v>0</v>
      </c>
      <c r="AR61" s="90">
        <f t="shared" si="88"/>
        <v>3.018507251503361</v>
      </c>
      <c r="AS61" s="89">
        <f t="shared" si="60"/>
        <v>0</v>
      </c>
      <c r="AT61" s="90">
        <f t="shared" si="61"/>
        <v>3.018507251503361</v>
      </c>
      <c r="AU61" s="89">
        <f t="shared" si="62"/>
        <v>0</v>
      </c>
      <c r="AV61" s="89">
        <f t="shared" si="63"/>
        <v>0</v>
      </c>
      <c r="AW61" s="89">
        <f t="shared" si="64"/>
        <v>0</v>
      </c>
      <c r="AX61" s="89">
        <f t="shared" si="65"/>
        <v>0</v>
      </c>
      <c r="AY61" s="89">
        <f t="shared" si="66"/>
        <v>0</v>
      </c>
      <c r="AZ61" s="90" t="b">
        <f t="shared" si="67"/>
        <v>0</v>
      </c>
      <c r="BA61" s="90" t="b">
        <f t="shared" si="68"/>
        <v>0</v>
      </c>
      <c r="BB61" s="64" t="b">
        <f t="shared" si="69"/>
        <v>0</v>
      </c>
      <c r="BC61" s="92">
        <f t="shared" si="70"/>
        <v>0</v>
      </c>
      <c r="BD61" s="90">
        <f t="shared" si="71"/>
        <v>0.09252031838955023</v>
      </c>
      <c r="BE61" s="64"/>
      <c r="BF61" s="90">
        <f t="shared" si="73"/>
        <v>0.09252031838955023</v>
      </c>
      <c r="BG61" s="64"/>
      <c r="BH61" s="64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</row>
    <row r="62" spans="1:203" ht="12.75">
      <c r="A62" s="64"/>
      <c r="B62" s="64"/>
      <c r="C62" s="64"/>
      <c r="D62" s="64"/>
      <c r="E62" s="64"/>
      <c r="F62" s="64">
        <f t="shared" si="48"/>
        <v>57</v>
      </c>
      <c r="G62" s="64">
        <f t="shared" si="72"/>
        <v>2.28</v>
      </c>
      <c r="H62" s="75">
        <v>1</v>
      </c>
      <c r="I62" s="64">
        <f t="shared" si="0"/>
        <v>-12</v>
      </c>
      <c r="J62" s="64">
        <f t="shared" si="89"/>
        <v>27.5184</v>
      </c>
      <c r="K62" s="64">
        <f t="shared" si="90"/>
        <v>5.824637327765567</v>
      </c>
      <c r="L62" s="64">
        <f t="shared" si="74"/>
        <v>8.912318663882782</v>
      </c>
      <c r="M62" s="64">
        <f t="shared" si="91"/>
        <v>2.28</v>
      </c>
      <c r="N62" s="64">
        <f t="shared" si="92"/>
        <v>1.3284304757559333</v>
      </c>
      <c r="O62" s="64">
        <f t="shared" si="50"/>
        <v>4.929502421903898</v>
      </c>
      <c r="P62" s="64">
        <f t="shared" si="75"/>
        <v>12</v>
      </c>
      <c r="Q62" s="64">
        <f t="shared" si="76"/>
        <v>0.058799999999999915</v>
      </c>
      <c r="R62" s="64">
        <f t="shared" si="7"/>
        <v>0</v>
      </c>
      <c r="S62" s="93">
        <f t="shared" si="77"/>
        <v>16.870702421903896</v>
      </c>
      <c r="T62" s="94">
        <f t="shared" si="49"/>
        <v>2.28</v>
      </c>
      <c r="U62" s="95">
        <f t="shared" si="78"/>
        <v>16.870702421903896</v>
      </c>
      <c r="V62" s="64"/>
      <c r="W62" s="75">
        <f t="shared" si="43"/>
        <v>11.399999999999991</v>
      </c>
      <c r="X62" s="86">
        <f t="shared" si="44"/>
        <v>-0.01060839160839142</v>
      </c>
      <c r="Y62" s="64">
        <f t="shared" si="8"/>
        <v>1.0000591715976332</v>
      </c>
      <c r="Z62" s="64">
        <f t="shared" si="51"/>
        <v>-12.04631705217859</v>
      </c>
      <c r="AA62" s="64">
        <f t="shared" si="79"/>
        <v>36.063762887622865</v>
      </c>
      <c r="AB62" s="64">
        <f t="shared" si="80"/>
        <v>0.9220451015272042</v>
      </c>
      <c r="AC62" s="64">
        <f t="shared" si="81"/>
        <v>6.483797420200814</v>
      </c>
      <c r="AD62" s="64">
        <f t="shared" si="82"/>
        <v>0.03926697316238389</v>
      </c>
      <c r="AE62" s="64">
        <f t="shared" si="52"/>
        <v>0.16197311353016453</v>
      </c>
      <c r="AF62" s="86">
        <f t="shared" si="83"/>
        <v>0.03554545454545457</v>
      </c>
      <c r="AG62" s="64">
        <f t="shared" si="53"/>
        <v>0.7288790108857404</v>
      </c>
      <c r="AH62" s="64">
        <f t="shared" si="54"/>
        <v>0.7170977306967425</v>
      </c>
      <c r="AI62" s="87">
        <f t="shared" si="55"/>
        <v>0.011781280188997822</v>
      </c>
      <c r="AJ62" s="87">
        <f t="shared" si="84"/>
        <v>0</v>
      </c>
      <c r="AK62" s="88">
        <f t="shared" si="85"/>
        <v>261.3790909090918</v>
      </c>
      <c r="AL62" s="89">
        <f t="shared" si="86"/>
        <v>0</v>
      </c>
      <c r="AM62" s="90">
        <f t="shared" si="87"/>
        <v>255.37909090909181</v>
      </c>
      <c r="AN62" s="89">
        <f t="shared" si="56"/>
        <v>0</v>
      </c>
      <c r="AO62" s="89">
        <f t="shared" si="57"/>
        <v>0.08212615702479378</v>
      </c>
      <c r="AP62" s="91">
        <f t="shared" si="58"/>
        <v>0</v>
      </c>
      <c r="AQ62" s="89">
        <f t="shared" si="59"/>
        <v>0</v>
      </c>
      <c r="AR62" s="90">
        <f t="shared" si="88"/>
        <v>3.0189211177927135</v>
      </c>
      <c r="AS62" s="89">
        <f t="shared" si="60"/>
        <v>0</v>
      </c>
      <c r="AT62" s="90">
        <f t="shared" si="61"/>
        <v>3.0189211177927135</v>
      </c>
      <c r="AU62" s="89">
        <f t="shared" si="62"/>
        <v>0</v>
      </c>
      <c r="AV62" s="89">
        <f t="shared" si="63"/>
        <v>0</v>
      </c>
      <c r="AW62" s="89">
        <f t="shared" si="64"/>
        <v>0</v>
      </c>
      <c r="AX62" s="89">
        <f t="shared" si="65"/>
        <v>0</v>
      </c>
      <c r="AY62" s="89">
        <f t="shared" si="66"/>
        <v>0</v>
      </c>
      <c r="AZ62" s="90" t="b">
        <f t="shared" si="67"/>
        <v>0</v>
      </c>
      <c r="BA62" s="90" t="b">
        <f t="shared" si="68"/>
        <v>0</v>
      </c>
      <c r="BB62" s="64" t="b">
        <f t="shared" si="69"/>
        <v>0</v>
      </c>
      <c r="BC62" s="92">
        <f t="shared" si="70"/>
        <v>0</v>
      </c>
      <c r="BD62" s="90">
        <f t="shared" si="71"/>
        <v>0.0939074372137916</v>
      </c>
      <c r="BE62" s="64"/>
      <c r="BF62" s="90">
        <f t="shared" si="73"/>
        <v>0.0939074372137916</v>
      </c>
      <c r="BG62" s="64"/>
      <c r="BH62" s="64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</row>
    <row r="63" spans="1:203" ht="12.75">
      <c r="A63" s="64"/>
      <c r="B63" s="64"/>
      <c r="C63" s="64"/>
      <c r="D63" s="64"/>
      <c r="E63" s="64"/>
      <c r="F63" s="64">
        <f t="shared" si="48"/>
        <v>58</v>
      </c>
      <c r="G63" s="64">
        <f t="shared" si="72"/>
        <v>2.32</v>
      </c>
      <c r="H63" s="75">
        <v>1</v>
      </c>
      <c r="I63" s="64">
        <f t="shared" si="0"/>
        <v>-12</v>
      </c>
      <c r="J63" s="64">
        <f t="shared" si="89"/>
        <v>27.4624</v>
      </c>
      <c r="K63" s="64">
        <f t="shared" si="90"/>
        <v>5.843834357679897</v>
      </c>
      <c r="L63" s="64">
        <f t="shared" si="74"/>
        <v>8.921917178839948</v>
      </c>
      <c r="M63" s="64">
        <f t="shared" si="91"/>
        <v>2.32</v>
      </c>
      <c r="N63" s="64">
        <f t="shared" si="92"/>
        <v>1.342142425135814</v>
      </c>
      <c r="O63" s="64">
        <f t="shared" si="50"/>
        <v>5.046189072305581</v>
      </c>
      <c r="P63" s="64">
        <f t="shared" si="75"/>
        <v>12</v>
      </c>
      <c r="Q63" s="64">
        <f t="shared" si="76"/>
        <v>0.07679999999999992</v>
      </c>
      <c r="R63" s="64">
        <f t="shared" si="7"/>
        <v>0</v>
      </c>
      <c r="S63" s="93">
        <f t="shared" si="77"/>
        <v>16.96938907230558</v>
      </c>
      <c r="T63" s="94">
        <f t="shared" si="49"/>
        <v>2.32</v>
      </c>
      <c r="U63" s="95">
        <f t="shared" si="78"/>
        <v>16.96938907230558</v>
      </c>
      <c r="V63" s="64"/>
      <c r="W63" s="75">
        <f t="shared" si="43"/>
        <v>11.59999999999999</v>
      </c>
      <c r="X63" s="86">
        <f t="shared" si="44"/>
        <v>-0.010335664335664147</v>
      </c>
      <c r="Y63" s="64">
        <f t="shared" si="8"/>
        <v>1.0000591715976332</v>
      </c>
      <c r="Z63" s="64">
        <f t="shared" si="51"/>
        <v>-12.046312856374394</v>
      </c>
      <c r="AA63" s="64">
        <f t="shared" si="79"/>
        <v>36.06212081197125</v>
      </c>
      <c r="AB63" s="64">
        <f t="shared" si="80"/>
        <v>0.9255456620589162</v>
      </c>
      <c r="AC63" s="64">
        <f t="shared" si="81"/>
        <v>6.485545499127948</v>
      </c>
      <c r="AD63" s="64">
        <f t="shared" si="82"/>
        <v>0.03955314719608913</v>
      </c>
      <c r="AE63" s="64">
        <f t="shared" si="52"/>
        <v>0.1625635630391773</v>
      </c>
      <c r="AF63" s="86">
        <f t="shared" si="83"/>
        <v>0.035818181818181846</v>
      </c>
      <c r="AG63" s="64">
        <f t="shared" si="53"/>
        <v>0.7315360336762978</v>
      </c>
      <c r="AH63" s="64">
        <f t="shared" si="54"/>
        <v>0.7196225702075396</v>
      </c>
      <c r="AI63" s="87">
        <f t="shared" si="55"/>
        <v>0.011913463468758212</v>
      </c>
      <c r="AJ63" s="87">
        <f t="shared" si="84"/>
        <v>0</v>
      </c>
      <c r="AK63" s="88">
        <f t="shared" si="85"/>
        <v>261.3436363636373</v>
      </c>
      <c r="AL63" s="89">
        <f t="shared" si="86"/>
        <v>0</v>
      </c>
      <c r="AM63" s="90">
        <f t="shared" si="87"/>
        <v>255.34363636363727</v>
      </c>
      <c r="AN63" s="89">
        <f t="shared" si="56"/>
        <v>0</v>
      </c>
      <c r="AO63" s="89">
        <f t="shared" si="57"/>
        <v>0.08339123966942191</v>
      </c>
      <c r="AP63" s="91">
        <f t="shared" si="58"/>
        <v>0</v>
      </c>
      <c r="AQ63" s="89">
        <f t="shared" si="59"/>
        <v>0</v>
      </c>
      <c r="AR63" s="90">
        <f t="shared" si="88"/>
        <v>3.019334984082066</v>
      </c>
      <c r="AS63" s="89">
        <f t="shared" si="60"/>
        <v>0</v>
      </c>
      <c r="AT63" s="90">
        <f t="shared" si="61"/>
        <v>3.019334984082066</v>
      </c>
      <c r="AU63" s="89">
        <f t="shared" si="62"/>
        <v>0</v>
      </c>
      <c r="AV63" s="89">
        <f t="shared" si="63"/>
        <v>0</v>
      </c>
      <c r="AW63" s="89">
        <f t="shared" si="64"/>
        <v>0</v>
      </c>
      <c r="AX63" s="89">
        <f t="shared" si="65"/>
        <v>0</v>
      </c>
      <c r="AY63" s="89">
        <f t="shared" si="66"/>
        <v>0</v>
      </c>
      <c r="AZ63" s="90" t="b">
        <f t="shared" si="67"/>
        <v>0</v>
      </c>
      <c r="BA63" s="90" t="b">
        <f t="shared" si="68"/>
        <v>0</v>
      </c>
      <c r="BB63" s="64" t="b">
        <f t="shared" si="69"/>
        <v>0</v>
      </c>
      <c r="BC63" s="92">
        <f t="shared" si="70"/>
        <v>0</v>
      </c>
      <c r="BD63" s="90">
        <f t="shared" si="71"/>
        <v>0.09530470313818012</v>
      </c>
      <c r="BE63" s="64"/>
      <c r="BF63" s="90">
        <f t="shared" si="73"/>
        <v>0.09530470313818012</v>
      </c>
      <c r="BG63" s="64"/>
      <c r="BH63" s="64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</row>
    <row r="64" spans="1:203" ht="12.75">
      <c r="A64" s="64"/>
      <c r="B64" s="64"/>
      <c r="C64" s="64"/>
      <c r="D64" s="64"/>
      <c r="E64" s="64"/>
      <c r="F64" s="64">
        <f t="shared" si="48"/>
        <v>59</v>
      </c>
      <c r="G64" s="64">
        <f t="shared" si="72"/>
        <v>2.36</v>
      </c>
      <c r="H64" s="75">
        <v>1</v>
      </c>
      <c r="I64" s="64">
        <f t="shared" si="0"/>
        <v>-12</v>
      </c>
      <c r="J64" s="64">
        <f t="shared" si="89"/>
        <v>27.4096</v>
      </c>
      <c r="K64" s="64">
        <f t="shared" si="90"/>
        <v>5.861876832551158</v>
      </c>
      <c r="L64" s="64">
        <f t="shared" si="74"/>
        <v>8.930938416275579</v>
      </c>
      <c r="M64" s="64">
        <f t="shared" si="91"/>
        <v>2.36</v>
      </c>
      <c r="N64" s="64">
        <f t="shared" si="92"/>
        <v>1.3558107539042206</v>
      </c>
      <c r="O64" s="64">
        <f t="shared" si="50"/>
        <v>5.163248099360807</v>
      </c>
      <c r="P64" s="64">
        <f t="shared" si="75"/>
        <v>12</v>
      </c>
      <c r="Q64" s="64">
        <f t="shared" si="76"/>
        <v>0.09719999999999994</v>
      </c>
      <c r="R64" s="64">
        <f t="shared" si="7"/>
        <v>0</v>
      </c>
      <c r="S64" s="93">
        <f t="shared" si="77"/>
        <v>17.066048099360806</v>
      </c>
      <c r="T64" s="94">
        <f t="shared" si="49"/>
        <v>2.36</v>
      </c>
      <c r="U64" s="95">
        <f t="shared" si="78"/>
        <v>17.066048099360806</v>
      </c>
      <c r="V64" s="64"/>
      <c r="W64" s="75">
        <f t="shared" si="43"/>
        <v>11.79999999999999</v>
      </c>
      <c r="X64" s="86">
        <f t="shared" si="44"/>
        <v>-0.010062937062936875</v>
      </c>
      <c r="Y64" s="64">
        <f t="shared" si="8"/>
        <v>1.0000591715976332</v>
      </c>
      <c r="Z64" s="64">
        <f t="shared" si="51"/>
        <v>-12.0463086605702</v>
      </c>
      <c r="AA64" s="64">
        <f t="shared" si="79"/>
        <v>36.06047888507995</v>
      </c>
      <c r="AB64" s="64">
        <f t="shared" si="80"/>
        <v>0.9290327124598773</v>
      </c>
      <c r="AC64" s="64">
        <f t="shared" si="81"/>
        <v>6.487286823389393</v>
      </c>
      <c r="AD64" s="64">
        <f t="shared" si="82"/>
        <v>0.03983926927082751</v>
      </c>
      <c r="AE64" s="64">
        <f t="shared" si="52"/>
        <v>0.16315178787477458</v>
      </c>
      <c r="AF64" s="86">
        <f t="shared" si="83"/>
        <v>0.03609090909090912</v>
      </c>
      <c r="AG64" s="64">
        <f t="shared" si="53"/>
        <v>0.7341830454364856</v>
      </c>
      <c r="AH64" s="64">
        <f t="shared" si="54"/>
        <v>0.7221369228620176</v>
      </c>
      <c r="AI64" s="87">
        <f t="shared" si="55"/>
        <v>0.012046122574468021</v>
      </c>
      <c r="AJ64" s="87">
        <f t="shared" si="84"/>
        <v>0</v>
      </c>
      <c r="AK64" s="88">
        <f t="shared" si="85"/>
        <v>261.30818181818273</v>
      </c>
      <c r="AL64" s="89">
        <f t="shared" si="86"/>
        <v>0</v>
      </c>
      <c r="AM64" s="90">
        <f t="shared" si="87"/>
        <v>255.3081818181827</v>
      </c>
      <c r="AN64" s="89">
        <f t="shared" si="56"/>
        <v>0</v>
      </c>
      <c r="AO64" s="89">
        <f t="shared" si="57"/>
        <v>0.08466599173553763</v>
      </c>
      <c r="AP64" s="91">
        <f t="shared" si="58"/>
        <v>0</v>
      </c>
      <c r="AQ64" s="89">
        <f t="shared" si="59"/>
        <v>0</v>
      </c>
      <c r="AR64" s="90">
        <f t="shared" si="88"/>
        <v>3.0197488503714185</v>
      </c>
      <c r="AS64" s="89">
        <f t="shared" si="60"/>
        <v>0</v>
      </c>
      <c r="AT64" s="90">
        <f t="shared" si="61"/>
        <v>3.019748850371419</v>
      </c>
      <c r="AU64" s="89">
        <f t="shared" si="62"/>
        <v>0</v>
      </c>
      <c r="AV64" s="89">
        <f t="shared" si="63"/>
        <v>0</v>
      </c>
      <c r="AW64" s="89">
        <f t="shared" si="64"/>
        <v>0</v>
      </c>
      <c r="AX64" s="89">
        <f t="shared" si="65"/>
        <v>0</v>
      </c>
      <c r="AY64" s="89">
        <f t="shared" si="66"/>
        <v>0</v>
      </c>
      <c r="AZ64" s="90" t="b">
        <f t="shared" si="67"/>
        <v>0</v>
      </c>
      <c r="BA64" s="90" t="b">
        <f t="shared" si="68"/>
        <v>0</v>
      </c>
      <c r="BB64" s="64" t="b">
        <f t="shared" si="69"/>
        <v>0</v>
      </c>
      <c r="BC64" s="92">
        <f t="shared" si="70"/>
        <v>0</v>
      </c>
      <c r="BD64" s="90">
        <f t="shared" si="71"/>
        <v>0.09671211431000565</v>
      </c>
      <c r="BE64" s="64"/>
      <c r="BF64" s="90">
        <f t="shared" si="73"/>
        <v>0.09671211431000565</v>
      </c>
      <c r="BG64" s="64"/>
      <c r="BH64" s="64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</row>
    <row r="65" spans="1:203" ht="12.75">
      <c r="A65" s="64"/>
      <c r="B65" s="64"/>
      <c r="C65" s="64"/>
      <c r="D65" s="64"/>
      <c r="E65" s="64"/>
      <c r="F65" s="64">
        <f t="shared" si="48"/>
        <v>60</v>
      </c>
      <c r="G65" s="64">
        <f t="shared" si="72"/>
        <v>2.4</v>
      </c>
      <c r="H65" s="75">
        <v>1</v>
      </c>
      <c r="I65" s="64">
        <f t="shared" si="0"/>
        <v>-12</v>
      </c>
      <c r="J65" s="64">
        <f t="shared" si="89"/>
        <v>27.36</v>
      </c>
      <c r="K65" s="64">
        <f t="shared" si="90"/>
        <v>5.878775382679628</v>
      </c>
      <c r="L65" s="64">
        <f t="shared" si="74"/>
        <v>8.939387691339814</v>
      </c>
      <c r="M65" s="64">
        <f t="shared" si="91"/>
        <v>2.4</v>
      </c>
      <c r="N65" s="64">
        <f t="shared" si="92"/>
        <v>1.3694384060045657</v>
      </c>
      <c r="O65" s="64">
        <f t="shared" si="50"/>
        <v>5.280656519618602</v>
      </c>
      <c r="P65" s="64">
        <f t="shared" si="75"/>
        <v>12</v>
      </c>
      <c r="Q65" s="64">
        <f t="shared" si="76"/>
        <v>0.11999999999999994</v>
      </c>
      <c r="R65" s="64">
        <f t="shared" si="7"/>
        <v>0</v>
      </c>
      <c r="S65" s="93">
        <f t="shared" si="77"/>
        <v>17.160656519618602</v>
      </c>
      <c r="T65" s="94">
        <f t="shared" si="49"/>
        <v>2.4</v>
      </c>
      <c r="U65" s="95">
        <f t="shared" si="78"/>
        <v>17.160656519618602</v>
      </c>
      <c r="V65" s="64"/>
      <c r="W65" s="75">
        <f t="shared" si="43"/>
        <v>11.99999999999999</v>
      </c>
      <c r="X65" s="86">
        <f t="shared" si="44"/>
        <v>-0.009790209790209604</v>
      </c>
      <c r="Y65" s="64">
        <f t="shared" si="8"/>
        <v>1.0000591715976332</v>
      </c>
      <c r="Z65" s="64">
        <f t="shared" si="51"/>
        <v>-12.046304464766003</v>
      </c>
      <c r="AA65" s="64">
        <f t="shared" si="79"/>
        <v>36.05883710694899</v>
      </c>
      <c r="AB65" s="64">
        <f t="shared" si="80"/>
        <v>0.9325064042909808</v>
      </c>
      <c r="AC65" s="64">
        <f t="shared" si="81"/>
        <v>6.489021468761109</v>
      </c>
      <c r="AD65" s="64">
        <f t="shared" si="82"/>
        <v>0.04012533996949105</v>
      </c>
      <c r="AE65" s="64">
        <f t="shared" si="52"/>
        <v>0.16373781319644043</v>
      </c>
      <c r="AF65" s="86">
        <f t="shared" si="83"/>
        <v>0.03636363636363639</v>
      </c>
      <c r="AG65" s="64">
        <f t="shared" si="53"/>
        <v>0.7368201593839819</v>
      </c>
      <c r="AH65" s="64">
        <f t="shared" si="54"/>
        <v>0.7246409037096435</v>
      </c>
      <c r="AI65" s="87">
        <f t="shared" si="55"/>
        <v>0.012179255674338418</v>
      </c>
      <c r="AJ65" s="87">
        <f t="shared" si="84"/>
        <v>0</v>
      </c>
      <c r="AK65" s="88">
        <f t="shared" si="85"/>
        <v>261.27272727272816</v>
      </c>
      <c r="AL65" s="89">
        <f t="shared" si="86"/>
        <v>0</v>
      </c>
      <c r="AM65" s="90">
        <f t="shared" si="87"/>
        <v>255.2727272727282</v>
      </c>
      <c r="AN65" s="89">
        <f t="shared" si="56"/>
        <v>0</v>
      </c>
      <c r="AO65" s="89">
        <f t="shared" si="57"/>
        <v>0.08595041322314093</v>
      </c>
      <c r="AP65" s="91">
        <f t="shared" si="58"/>
        <v>0</v>
      </c>
      <c r="AQ65" s="89">
        <f t="shared" si="59"/>
        <v>0</v>
      </c>
      <c r="AR65" s="90">
        <f t="shared" si="88"/>
        <v>3.0201627166607716</v>
      </c>
      <c r="AS65" s="89">
        <f t="shared" si="60"/>
        <v>0</v>
      </c>
      <c r="AT65" s="90">
        <f>IF((h-bz*TAN(beta)-X65)/(DT-TAN(beta))&gt;(bz+R),(bz+R),(h-bz*TAN(beta)-X65)/(DT-TAN(beta)))</f>
        <v>3.0201627166607716</v>
      </c>
      <c r="AU65" s="89">
        <f t="shared" si="62"/>
        <v>0</v>
      </c>
      <c r="AV65" s="89">
        <f t="shared" si="63"/>
        <v>0</v>
      </c>
      <c r="AW65" s="89">
        <f t="shared" si="64"/>
        <v>0</v>
      </c>
      <c r="AX65" s="89">
        <f t="shared" si="65"/>
        <v>0</v>
      </c>
      <c r="AY65" s="89">
        <f t="shared" si="66"/>
        <v>0</v>
      </c>
      <c r="AZ65" s="90" t="b">
        <f t="shared" si="67"/>
        <v>0</v>
      </c>
      <c r="BA65" s="90" t="b">
        <f t="shared" si="68"/>
        <v>0</v>
      </c>
      <c r="BB65" s="64" t="b">
        <f t="shared" si="69"/>
        <v>0</v>
      </c>
      <c r="BC65" s="92">
        <f t="shared" si="70"/>
        <v>0</v>
      </c>
      <c r="BD65" s="90">
        <f t="shared" si="71"/>
        <v>0.09812966889747934</v>
      </c>
      <c r="BE65" s="64"/>
      <c r="BF65" s="90">
        <f t="shared" si="73"/>
        <v>0.09812966889747934</v>
      </c>
      <c r="BG65" s="64"/>
      <c r="BH65" s="64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2.75">
      <c r="A66" s="64"/>
      <c r="B66" s="64"/>
      <c r="C66" s="64"/>
      <c r="D66" s="64"/>
      <c r="E66" s="64"/>
      <c r="F66" s="64">
        <f t="shared" si="48"/>
        <v>61</v>
      </c>
      <c r="G66" s="64">
        <f t="shared" si="72"/>
        <v>2.44</v>
      </c>
      <c r="H66" s="75">
        <v>1</v>
      </c>
      <c r="I66" s="64">
        <f t="shared" si="0"/>
        <v>-12</v>
      </c>
      <c r="J66" s="64">
        <f t="shared" si="89"/>
        <v>27.3136</v>
      </c>
      <c r="K66" s="64">
        <f t="shared" si="90"/>
        <v>5.894539846332366</v>
      </c>
      <c r="L66" s="64">
        <f t="shared" si="74"/>
        <v>8.947269923166182</v>
      </c>
      <c r="M66" s="64">
        <f t="shared" si="91"/>
        <v>2.44</v>
      </c>
      <c r="N66" s="64">
        <f t="shared" si="92"/>
        <v>1.3830282517216042</v>
      </c>
      <c r="O66" s="64">
        <f t="shared" si="50"/>
        <v>5.398391554260688</v>
      </c>
      <c r="P66" s="64">
        <f t="shared" si="75"/>
        <v>12</v>
      </c>
      <c r="Q66" s="64">
        <f t="shared" si="76"/>
        <v>0.1452</v>
      </c>
      <c r="R66" s="64">
        <f t="shared" si="7"/>
        <v>0</v>
      </c>
      <c r="S66" s="93">
        <f t="shared" si="77"/>
        <v>17.253191554260688</v>
      </c>
      <c r="T66" s="94">
        <f t="shared" si="49"/>
        <v>2.44</v>
      </c>
      <c r="U66" s="95">
        <f t="shared" si="78"/>
        <v>17.253191554260688</v>
      </c>
      <c r="V66" s="64"/>
      <c r="W66" s="75">
        <f t="shared" si="43"/>
        <v>12.199999999999989</v>
      </c>
      <c r="X66" s="86">
        <f t="shared" si="44"/>
        <v>-0.009517482517482329</v>
      </c>
      <c r="Y66" s="64">
        <f t="shared" si="8"/>
        <v>1.0000591715976332</v>
      </c>
      <c r="Z66" s="64">
        <f t="shared" si="51"/>
        <v>-12.046300268961808</v>
      </c>
      <c r="AA66" s="64">
        <f t="shared" si="79"/>
        <v>36.05719547757836</v>
      </c>
      <c r="AB66" s="64">
        <f t="shared" si="80"/>
        <v>0.9359668862868737</v>
      </c>
      <c r="AC66" s="64">
        <f t="shared" si="81"/>
        <v>6.490749509606021</v>
      </c>
      <c r="AD66" s="64">
        <f t="shared" si="82"/>
        <v>0.04041135986410227</v>
      </c>
      <c r="AE66" s="64">
        <f t="shared" si="52"/>
        <v>0.1643216636937539</v>
      </c>
      <c r="AF66" s="86">
        <f t="shared" si="83"/>
        <v>0.03663636363636366</v>
      </c>
      <c r="AG66" s="64">
        <f t="shared" si="53"/>
        <v>0.7394474866218925</v>
      </c>
      <c r="AH66" s="64">
        <f t="shared" si="54"/>
        <v>0.7271346256648842</v>
      </c>
      <c r="AI66" s="87">
        <f t="shared" si="55"/>
        <v>0.012312860957008342</v>
      </c>
      <c r="AJ66" s="87">
        <f t="shared" si="84"/>
        <v>0</v>
      </c>
      <c r="AK66" s="88">
        <f t="shared" si="85"/>
        <v>261.2372727272736</v>
      </c>
      <c r="AL66" s="89">
        <f t="shared" si="86"/>
        <v>0</v>
      </c>
      <c r="AM66" s="90">
        <f t="shared" si="87"/>
        <v>255.23727272727365</v>
      </c>
      <c r="AN66" s="89">
        <f t="shared" si="56"/>
        <v>0</v>
      </c>
      <c r="AO66" s="89">
        <f t="shared" si="57"/>
        <v>0.08724450413223182</v>
      </c>
      <c r="AP66" s="91">
        <f t="shared" si="58"/>
        <v>0</v>
      </c>
      <c r="AQ66" s="89">
        <f t="shared" si="59"/>
        <v>0</v>
      </c>
      <c r="AR66" s="90">
        <f t="shared" si="88"/>
        <v>3.0205765829501243</v>
      </c>
      <c r="AS66" s="89">
        <f t="shared" si="60"/>
        <v>0</v>
      </c>
      <c r="AT66" s="90">
        <f t="shared" si="61"/>
        <v>3.020576582950124</v>
      </c>
      <c r="AU66" s="89">
        <f t="shared" si="62"/>
        <v>0</v>
      </c>
      <c r="AV66" s="89">
        <f t="shared" si="63"/>
        <v>0</v>
      </c>
      <c r="AW66" s="89">
        <f t="shared" si="64"/>
        <v>0</v>
      </c>
      <c r="AX66" s="89">
        <f t="shared" si="65"/>
        <v>0</v>
      </c>
      <c r="AY66" s="89">
        <f t="shared" si="66"/>
        <v>0</v>
      </c>
      <c r="AZ66" s="90" t="b">
        <f t="shared" si="67"/>
        <v>0</v>
      </c>
      <c r="BA66" s="90" t="b">
        <f t="shared" si="68"/>
        <v>0</v>
      </c>
      <c r="BB66" s="64" t="b">
        <f t="shared" si="69"/>
        <v>0</v>
      </c>
      <c r="BC66" s="92">
        <f t="shared" si="70"/>
        <v>0</v>
      </c>
      <c r="BD66" s="90">
        <f t="shared" si="71"/>
        <v>0.09955736508924017</v>
      </c>
      <c r="BE66" s="64"/>
      <c r="BF66" s="90">
        <f t="shared" si="73"/>
        <v>0.09955736508924017</v>
      </c>
      <c r="BG66" s="64"/>
      <c r="BH66" s="64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ht="12.75">
      <c r="A67" s="64"/>
      <c r="B67" s="64"/>
      <c r="C67" s="64"/>
      <c r="D67" s="64"/>
      <c r="E67" s="64"/>
      <c r="F67" s="64">
        <f t="shared" si="48"/>
        <v>62</v>
      </c>
      <c r="G67" s="64">
        <f t="shared" si="72"/>
        <v>2.48</v>
      </c>
      <c r="H67" s="75">
        <v>1</v>
      </c>
      <c r="I67" s="64">
        <f t="shared" si="0"/>
        <v>-12</v>
      </c>
      <c r="J67" s="64">
        <f t="shared" si="89"/>
        <v>27.2704</v>
      </c>
      <c r="K67" s="64">
        <f t="shared" si="90"/>
        <v>5.909179300038205</v>
      </c>
      <c r="L67" s="64">
        <f t="shared" si="74"/>
        <v>8.954589650019102</v>
      </c>
      <c r="M67" s="64">
        <f t="shared" si="91"/>
        <v>2.48</v>
      </c>
      <c r="N67" s="64">
        <f t="shared" si="92"/>
        <v>1.3965830939052566</v>
      </c>
      <c r="O67" s="64">
        <f t="shared" si="50"/>
        <v>5.516430613568689</v>
      </c>
      <c r="P67" s="64">
        <f t="shared" si="75"/>
        <v>12</v>
      </c>
      <c r="Q67" s="64">
        <f t="shared" si="76"/>
        <v>0.1728</v>
      </c>
      <c r="R67" s="64">
        <f t="shared" si="7"/>
        <v>0</v>
      </c>
      <c r="S67" s="93">
        <f t="shared" si="77"/>
        <v>17.34363061356869</v>
      </c>
      <c r="T67" s="94">
        <f t="shared" si="49"/>
        <v>2.48</v>
      </c>
      <c r="U67" s="95">
        <f t="shared" si="78"/>
        <v>17.34363061356869</v>
      </c>
      <c r="V67" s="64"/>
      <c r="W67" s="75">
        <f t="shared" si="43"/>
        <v>12.399999999999988</v>
      </c>
      <c r="X67" s="86">
        <f t="shared" si="44"/>
        <v>-0.009244755244755057</v>
      </c>
      <c r="Y67" s="64">
        <f t="shared" si="8"/>
        <v>1.0000591715976332</v>
      </c>
      <c r="Z67" s="64">
        <f t="shared" si="51"/>
        <v>-12.046296073157611</v>
      </c>
      <c r="AA67" s="64">
        <f t="shared" si="79"/>
        <v>36.055553996968065</v>
      </c>
      <c r="AB67" s="64">
        <f t="shared" si="80"/>
        <v>0.9394143044291088</v>
      </c>
      <c r="AC67" s="64">
        <f t="shared" si="81"/>
        <v>6.492471018910583</v>
      </c>
      <c r="AD67" s="64">
        <f t="shared" si="82"/>
        <v>0.04069732951609541</v>
      </c>
      <c r="AE67" s="64">
        <f t="shared" si="52"/>
        <v>0.1649033635985777</v>
      </c>
      <c r="AF67" s="86">
        <f t="shared" si="83"/>
        <v>0.03690909090909093</v>
      </c>
      <c r="AG67" s="64">
        <f t="shared" si="53"/>
        <v>0.7420651361935997</v>
      </c>
      <c r="AH67" s="64">
        <f t="shared" si="54"/>
        <v>0.7296181995623434</v>
      </c>
      <c r="AI67" s="87">
        <f t="shared" si="55"/>
        <v>0.012446936631256289</v>
      </c>
      <c r="AJ67" s="87">
        <f t="shared" si="84"/>
        <v>0</v>
      </c>
      <c r="AK67" s="88">
        <f t="shared" si="85"/>
        <v>261.2018181818191</v>
      </c>
      <c r="AL67" s="89">
        <f t="shared" si="86"/>
        <v>0</v>
      </c>
      <c r="AM67" s="90">
        <f t="shared" si="87"/>
        <v>255.20181818181908</v>
      </c>
      <c r="AN67" s="89">
        <f t="shared" si="56"/>
        <v>0</v>
      </c>
      <c r="AO67" s="89">
        <f t="shared" si="57"/>
        <v>0.08854826446281035</v>
      </c>
      <c r="AP67" s="91">
        <f t="shared" si="58"/>
        <v>0</v>
      </c>
      <c r="AQ67" s="89">
        <f t="shared" si="59"/>
        <v>0</v>
      </c>
      <c r="AR67" s="90">
        <f t="shared" si="88"/>
        <v>3.020990449239477</v>
      </c>
      <c r="AS67" s="89">
        <f t="shared" si="60"/>
        <v>0</v>
      </c>
      <c r="AT67" s="90">
        <f t="shared" si="61"/>
        <v>3.020990449239477</v>
      </c>
      <c r="AU67" s="89">
        <f t="shared" si="62"/>
        <v>0</v>
      </c>
      <c r="AV67" s="89">
        <f t="shared" si="63"/>
        <v>0</v>
      </c>
      <c r="AW67" s="89">
        <f t="shared" si="64"/>
        <v>0</v>
      </c>
      <c r="AX67" s="89">
        <f t="shared" si="65"/>
        <v>0</v>
      </c>
      <c r="AY67" s="89">
        <f t="shared" si="66"/>
        <v>0</v>
      </c>
      <c r="AZ67" s="90" t="b">
        <f t="shared" si="67"/>
        <v>0</v>
      </c>
      <c r="BA67" s="90" t="b">
        <f t="shared" si="68"/>
        <v>0</v>
      </c>
      <c r="BB67" s="64" t="b">
        <f t="shared" si="69"/>
        <v>0</v>
      </c>
      <c r="BC67" s="92">
        <f t="shared" si="70"/>
        <v>0</v>
      </c>
      <c r="BD67" s="90">
        <f t="shared" si="71"/>
        <v>0.10099520109406664</v>
      </c>
      <c r="BE67" s="64"/>
      <c r="BF67" s="90">
        <f t="shared" si="73"/>
        <v>0.10099520109406664</v>
      </c>
      <c r="BG67" s="64"/>
      <c r="BH67" s="64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</row>
    <row r="68" spans="1:203" ht="12.75">
      <c r="A68" s="64"/>
      <c r="B68" s="64"/>
      <c r="C68" s="64"/>
      <c r="D68" s="64"/>
      <c r="E68" s="64"/>
      <c r="F68" s="64">
        <f t="shared" si="48"/>
        <v>63</v>
      </c>
      <c r="G68" s="64">
        <f t="shared" si="72"/>
        <v>2.52</v>
      </c>
      <c r="H68" s="75">
        <v>1</v>
      </c>
      <c r="I68" s="64">
        <f t="shared" si="0"/>
        <v>-12</v>
      </c>
      <c r="J68" s="64">
        <f t="shared" si="89"/>
        <v>27.2304</v>
      </c>
      <c r="K68" s="64">
        <f t="shared" si="90"/>
        <v>5.922702086041472</v>
      </c>
      <c r="L68" s="64">
        <f t="shared" si="74"/>
        <v>8.961351043020736</v>
      </c>
      <c r="M68" s="64">
        <f t="shared" si="91"/>
        <v>2.52</v>
      </c>
      <c r="N68" s="64">
        <f t="shared" si="92"/>
        <v>1.410105673842986</v>
      </c>
      <c r="O68" s="64">
        <f t="shared" si="50"/>
        <v>5.634751281968461</v>
      </c>
      <c r="P68" s="64">
        <f t="shared" si="75"/>
        <v>12</v>
      </c>
      <c r="Q68" s="64">
        <f t="shared" si="76"/>
        <v>0.20280000000000004</v>
      </c>
      <c r="R68" s="64">
        <f t="shared" si="7"/>
        <v>0</v>
      </c>
      <c r="S68" s="93">
        <f t="shared" si="77"/>
        <v>17.431951281968463</v>
      </c>
      <c r="T68" s="94">
        <f t="shared" si="49"/>
        <v>2.52</v>
      </c>
      <c r="U68" s="95">
        <f t="shared" si="78"/>
        <v>17.431951281968463</v>
      </c>
      <c r="V68" s="64"/>
      <c r="W68" s="75">
        <f t="shared" si="43"/>
        <v>12.599999999999987</v>
      </c>
      <c r="X68" s="86">
        <f t="shared" si="44"/>
        <v>-0.008972027972027785</v>
      </c>
      <c r="Y68" s="64">
        <f t="shared" si="8"/>
        <v>1.0000591715976332</v>
      </c>
      <c r="Z68" s="64">
        <f t="shared" si="51"/>
        <v>-12.046291877353415</v>
      </c>
      <c r="AA68" s="64">
        <f t="shared" si="79"/>
        <v>36.0539126651181</v>
      </c>
      <c r="AB68" s="64">
        <f t="shared" si="80"/>
        <v>0.9428488020171446</v>
      </c>
      <c r="AC68" s="64">
        <f t="shared" si="81"/>
        <v>6.494186068320289</v>
      </c>
      <c r="AD68" s="64">
        <f t="shared" si="82"/>
        <v>0.04098324947658964</v>
      </c>
      <c r="AE68" s="64">
        <f t="shared" si="52"/>
        <v>0.16548293669685288</v>
      </c>
      <c r="AF68" s="86">
        <f t="shared" si="83"/>
        <v>0.037181818181818205</v>
      </c>
      <c r="AG68" s="64">
        <f t="shared" si="53"/>
        <v>0.744673215135838</v>
      </c>
      <c r="AH68" s="64">
        <f t="shared" si="54"/>
        <v>0.7320917342102972</v>
      </c>
      <c r="AI68" s="87">
        <f t="shared" si="55"/>
        <v>0.012581480925540789</v>
      </c>
      <c r="AJ68" s="87">
        <f t="shared" si="84"/>
        <v>0</v>
      </c>
      <c r="AK68" s="88">
        <f t="shared" si="85"/>
        <v>261.16636363636457</v>
      </c>
      <c r="AL68" s="89">
        <f t="shared" si="86"/>
        <v>0</v>
      </c>
      <c r="AM68" s="90">
        <f t="shared" si="87"/>
        <v>255.16636363636454</v>
      </c>
      <c r="AN68" s="89">
        <f t="shared" si="56"/>
        <v>0</v>
      </c>
      <c r="AO68" s="89">
        <f t="shared" si="57"/>
        <v>0.08986169421487646</v>
      </c>
      <c r="AP68" s="91">
        <f t="shared" si="58"/>
        <v>0</v>
      </c>
      <c r="AQ68" s="89">
        <f t="shared" si="59"/>
        <v>0</v>
      </c>
      <c r="AR68" s="90">
        <f t="shared" si="88"/>
        <v>3.0214043155288293</v>
      </c>
      <c r="AS68" s="89">
        <f t="shared" si="60"/>
        <v>0</v>
      </c>
      <c r="AT68" s="90">
        <f t="shared" si="61"/>
        <v>3.0214043155288293</v>
      </c>
      <c r="AU68" s="89">
        <f t="shared" si="62"/>
        <v>0</v>
      </c>
      <c r="AV68" s="89">
        <f t="shared" si="63"/>
        <v>0</v>
      </c>
      <c r="AW68" s="89">
        <f t="shared" si="64"/>
        <v>0</v>
      </c>
      <c r="AX68" s="89">
        <f t="shared" si="65"/>
        <v>0</v>
      </c>
      <c r="AY68" s="89">
        <f t="shared" si="66"/>
        <v>0</v>
      </c>
      <c r="AZ68" s="90" t="b">
        <f t="shared" si="67"/>
        <v>0</v>
      </c>
      <c r="BA68" s="90" t="b">
        <f t="shared" si="68"/>
        <v>0</v>
      </c>
      <c r="BB68" s="64" t="b">
        <f t="shared" si="69"/>
        <v>0</v>
      </c>
      <c r="BC68" s="92">
        <f t="shared" si="70"/>
        <v>0</v>
      </c>
      <c r="BD68" s="90">
        <f t="shared" si="71"/>
        <v>0.10244317514041724</v>
      </c>
      <c r="BE68" s="64"/>
      <c r="BF68" s="90">
        <f t="shared" si="73"/>
        <v>0.10244317514041724</v>
      </c>
      <c r="BG68" s="64"/>
      <c r="BH68" s="64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</row>
    <row r="69" spans="1:203" ht="12.75">
      <c r="A69" s="64"/>
      <c r="B69" s="64"/>
      <c r="C69" s="64"/>
      <c r="D69" s="64"/>
      <c r="E69" s="64"/>
      <c r="F69" s="64">
        <f t="shared" si="48"/>
        <v>64</v>
      </c>
      <c r="G69" s="64">
        <f t="shared" si="72"/>
        <v>2.56</v>
      </c>
      <c r="H69" s="75">
        <v>1</v>
      </c>
      <c r="I69" s="64">
        <f aca="true" t="shared" si="93" ref="I69:I106">-2*bz</f>
        <v>-12</v>
      </c>
      <c r="J69" s="64">
        <f t="shared" si="89"/>
        <v>27.193600000000004</v>
      </c>
      <c r="K69" s="64">
        <f t="shared" si="90"/>
        <v>5.935115837117249</v>
      </c>
      <c r="L69" s="64">
        <f t="shared" si="74"/>
        <v>8.967557918558624</v>
      </c>
      <c r="M69" s="64">
        <f t="shared" si="91"/>
        <v>2.56</v>
      </c>
      <c r="N69" s="64">
        <f t="shared" si="92"/>
        <v>1.4235986768177096</v>
      </c>
      <c r="O69" s="64">
        <f aca="true" t="shared" si="94" ref="O69:O100">IF(G69&lt;=R,R^2/2*N69-(R-G69)^2*TAN(N69)/2,N$2)</f>
        <v>5.753331303596795</v>
      </c>
      <c r="P69" s="64">
        <f t="shared" si="75"/>
        <v>12</v>
      </c>
      <c r="Q69" s="64">
        <f t="shared" si="76"/>
        <v>0.23520000000000005</v>
      </c>
      <c r="R69" s="64">
        <f aca="true" t="shared" si="95" ref="R69:R105">IF(AND(beta=0,G69&gt;=R,hmx=hmw),R*(G69-R),IF(G69&lt;R,0,(2*db-(G69-R)/TAN(beta))*(G69-R)/2))</f>
        <v>0</v>
      </c>
      <c r="S69" s="93">
        <f t="shared" si="77"/>
        <v>17.518131303596796</v>
      </c>
      <c r="T69" s="94">
        <f t="shared" si="49"/>
        <v>2.56</v>
      </c>
      <c r="U69" s="95">
        <f t="shared" si="78"/>
        <v>17.518131303596796</v>
      </c>
      <c r="V69" s="64"/>
      <c r="W69" s="75">
        <f t="shared" si="43"/>
        <v>12.799999999999986</v>
      </c>
      <c r="X69" s="86">
        <f t="shared" si="44"/>
        <v>-0.008699300699300513</v>
      </c>
      <c r="Y69" s="64">
        <f aca="true" t="shared" si="96" ref="Y69:Y105">1+DT^2</f>
        <v>1.0000591715976332</v>
      </c>
      <c r="Z69" s="64">
        <f aca="true" t="shared" si="97" ref="Z69:Z105">2*(X69*DT-R*DT-bz)</f>
        <v>-12.04628768154922</v>
      </c>
      <c r="AA69" s="64">
        <f t="shared" si="79"/>
        <v>36.05227148202846</v>
      </c>
      <c r="AB69" s="64">
        <f t="shared" si="80"/>
        <v>0.9462705197368487</v>
      </c>
      <c r="AC69" s="64">
        <f t="shared" si="81"/>
        <v>6.495894728173911</v>
      </c>
      <c r="AD69" s="64">
        <f t="shared" si="82"/>
        <v>0.04126912028665247</v>
      </c>
      <c r="AE69" s="64">
        <f aca="true" t="shared" si="98" ref="AE69:AE100">IF(AND(AD69&gt;0,AD69&lt;=R),ACOS((R-AD69)/R),PI()/2)</f>
        <v>0.16606040633999863</v>
      </c>
      <c r="AF69" s="86">
        <f t="shared" si="83"/>
        <v>0.037454545454545476</v>
      </c>
      <c r="AG69" s="64">
        <f aca="true" t="shared" si="99" ref="AG69:AG105">IF(AE69&gt;=PI()/2,N$2,R^2*AE69/2)</f>
        <v>0.7472718285299939</v>
      </c>
      <c r="AH69" s="64">
        <f aca="true" t="shared" si="100" ref="AH69:AH105">IF(AE69&gt;=PI()/2,0,(R-AF69)*(AC69-bz)/2)</f>
        <v>0.7345553364423373</v>
      </c>
      <c r="AI69" s="87">
        <f aca="true" t="shared" si="101" ref="AI69:AI100">IF(AND(AD69&gt;0,AF69&gt;=0),AG69-AH69,IF(AND(AF69&gt;h,AD69&gt;=R),N$2,0))</f>
        <v>0.012716492087656572</v>
      </c>
      <c r="AJ69" s="87">
        <f t="shared" si="84"/>
        <v>0</v>
      </c>
      <c r="AK69" s="88">
        <f t="shared" si="85"/>
        <v>261.13090909091</v>
      </c>
      <c r="AL69" s="89">
        <f t="shared" si="86"/>
        <v>0</v>
      </c>
      <c r="AM69" s="90">
        <f t="shared" si="87"/>
        <v>255.13090909091</v>
      </c>
      <c r="AN69" s="89">
        <f aca="true" t="shared" si="102" ref="AN69:AN100">IF(AND(X69&gt;=h,AF69&gt;0,AF69&lt;h),bz*h+(h-AF69)*AM69/2,0)</f>
        <v>0</v>
      </c>
      <c r="AO69" s="89">
        <f aca="true" t="shared" si="103" ref="AO69:AO105">IF(AND(X69&lt;0,AF69&gt;0,AF69&lt;h),(AF69^2/DT/2),0)</f>
        <v>0.09118479338843018</v>
      </c>
      <c r="AP69" s="91">
        <f aca="true" t="shared" si="104" ref="AP69:AP105">IF(AND(AF69&lt;0,X69&gt;0,X69&lt;h),-((X69)^2/DT/2),0)</f>
        <v>0</v>
      </c>
      <c r="AQ69" s="89">
        <f aca="true" t="shared" si="105" ref="AQ69:AQ105">IF(AND(X69&gt;=0,X69&lt;h,AF69&gt;=0,AF69&lt;h),(X69+AF69)/2*bz,0)</f>
        <v>0</v>
      </c>
      <c r="AR69" s="90">
        <f t="shared" si="88"/>
        <v>3.021818181818182</v>
      </c>
      <c r="AS69" s="89">
        <f aca="true" t="shared" si="106" ref="AS69:AS100">IF(beta=0,0,IF(AND(AD69&gt;R,AD69&lt;hmx),(hmx-R)^2/TAN(beta)/2-(hmx-AD69)*(bz+R-AR69)/2,IF(AD69&gt;=hmx,(hmx-R)^2/TAN(beta)/2,0)))</f>
        <v>0</v>
      </c>
      <c r="AT69" s="90">
        <f aca="true" t="shared" si="107" ref="AT69:AT105">IF((h-bz*TAN(beta)-X69)/(DT-TAN(beta))&gt;(bz+R),(bz+R),(h-bz*TAN(beta)-X69)/(DT-TAN(beta)))</f>
        <v>3.021818181818182</v>
      </c>
      <c r="AU69" s="89">
        <f aca="true" t="shared" si="108" ref="AU69:AU100">IF(AD69&gt;=R,-AN$1,IF(OR(AF69&lt;h,beta=0),0,-(AF69-h)*(AT69-bz)/2))</f>
        <v>0</v>
      </c>
      <c r="AV69" s="89">
        <f aca="true" t="shared" si="109" ref="AV69:AV105">IF(BB69,pro,IF(AND(AF69&lt;hmw,AD69&lt;=hmx,AF69&gt;R,AD69&gt;=R,hmw=hmx),pro-(hmw+hmx-AF69-AD69)/2*R,0))</f>
        <v>0</v>
      </c>
      <c r="AW69" s="89">
        <f aca="true" t="shared" si="110" ref="AW69:AW105">IF(BA69,pro+(hmx-AD69)^2/2/DT,0)</f>
        <v>0</v>
      </c>
      <c r="AX69" s="89">
        <f aca="true" t="shared" si="111" ref="AX69:AX105">IF(AZ69,pro-(hmw-AF69)^2/2/DT,0)</f>
        <v>0</v>
      </c>
      <c r="AY69" s="89">
        <f aca="true" t="shared" si="112" ref="AY69:AY105">IF(AND(AF69&lt;R,AD69&gt;R,hmx&gt;R,hmw=hmx),(AD69-R)^2/2/DT,0)</f>
        <v>0</v>
      </c>
      <c r="AZ69" s="90" t="b">
        <f aca="true" t="shared" si="113" ref="AZ69:AZ105">AND(AF69&gt;R,AD69&gt;R,AF69&lt;hmx,AD69&gt;=hmx,hmw=hmx)</f>
        <v>0</v>
      </c>
      <c r="BA69" s="90" t="b">
        <f aca="true" t="shared" si="114" ref="BA69:BA105">AND(AF69&gt;R,AD69&gt;R,AD69&lt;hmx,AF69&gt;=hmw,hmw=hmx)</f>
        <v>0</v>
      </c>
      <c r="BB69" s="64" t="b">
        <f aca="true" t="shared" si="115" ref="BB69:BB105">AND(AF69&gt;hmw,AD69&gt;hmx,hmx&gt;R,hmw&gt;R)</f>
        <v>0</v>
      </c>
      <c r="BC69" s="92">
        <f aca="true" t="shared" si="116" ref="BC69:BC105">IF(AND(hmx=hmw,R=0,AD69&gt;0,AF69&gt;0,AD69&gt;=(-X69)),(X69+AD69)*bz/2,0)</f>
        <v>0</v>
      </c>
      <c r="BD69" s="90">
        <f aca="true" t="shared" si="117" ref="BD69:BD100">IF(R&gt;0,(AI69+AJ69+AL69+AN69+AO69+AP69+AQ69+AS69+AU69+AV69+AW69+AX69+AY69),BC69)</f>
        <v>0.10390128547608675</v>
      </c>
      <c r="BE69" s="64"/>
      <c r="BF69" s="90">
        <f t="shared" si="73"/>
        <v>0.10390128547608675</v>
      </c>
      <c r="BG69" s="64"/>
      <c r="BH69" s="64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</row>
    <row r="70" spans="1:203" ht="12.75">
      <c r="A70" s="64"/>
      <c r="B70" s="64"/>
      <c r="C70" s="64"/>
      <c r="D70" s="64"/>
      <c r="E70" s="64"/>
      <c r="F70" s="64">
        <f t="shared" si="48"/>
        <v>65</v>
      </c>
      <c r="G70" s="64">
        <f aca="true" t="shared" si="118" ref="G70:G101">hmx*F70/100</f>
        <v>2.6</v>
      </c>
      <c r="H70" s="75">
        <v>1</v>
      </c>
      <c r="I70" s="64">
        <f t="shared" si="93"/>
        <v>-12</v>
      </c>
      <c r="J70" s="64">
        <f t="shared" si="89"/>
        <v>27.159999999999997</v>
      </c>
      <c r="K70" s="64">
        <f t="shared" si="90"/>
        <v>5.946427498927403</v>
      </c>
      <c r="L70" s="64">
        <f t="shared" si="74"/>
        <v>8.973213749463701</v>
      </c>
      <c r="M70" s="64">
        <f t="shared" si="91"/>
        <v>2.6</v>
      </c>
      <c r="N70" s="64">
        <f t="shared" si="92"/>
        <v>1.437064737384955</v>
      </c>
      <c r="O70" s="64">
        <f t="shared" si="94"/>
        <v>5.872148568339558</v>
      </c>
      <c r="P70" s="64">
        <f t="shared" si="75"/>
        <v>12</v>
      </c>
      <c r="Q70" s="64">
        <f t="shared" si="76"/>
        <v>0.2700000000000001</v>
      </c>
      <c r="R70" s="64">
        <f t="shared" si="95"/>
        <v>0</v>
      </c>
      <c r="S70" s="93">
        <f t="shared" si="77"/>
        <v>17.602148568339558</v>
      </c>
      <c r="T70" s="94">
        <f t="shared" si="49"/>
        <v>2.6</v>
      </c>
      <c r="U70" s="95">
        <f t="shared" si="78"/>
        <v>17.602148568339558</v>
      </c>
      <c r="V70" s="64"/>
      <c r="W70" s="75">
        <f aca="true" t="shared" si="119" ref="W70:W105">W69+DL</f>
        <v>12.999999999999986</v>
      </c>
      <c r="X70" s="86">
        <f aca="true" t="shared" si="120" ref="X70:X105">hpo+W70*t</f>
        <v>-0.008426573426573242</v>
      </c>
      <c r="Y70" s="64">
        <f t="shared" si="96"/>
        <v>1.0000591715976332</v>
      </c>
      <c r="Z70" s="64">
        <f t="shared" si="97"/>
        <v>-12.046283485745024</v>
      </c>
      <c r="AA70" s="64">
        <f t="shared" si="79"/>
        <v>36.050630447699156</v>
      </c>
      <c r="AB70" s="64">
        <f t="shared" si="80"/>
        <v>0.949679595726647</v>
      </c>
      <c r="AC70" s="64">
        <f t="shared" si="81"/>
        <v>6.497597067536572</v>
      </c>
      <c r="AD70" s="64">
        <f t="shared" si="82"/>
        <v>0.041554942477554056</v>
      </c>
      <c r="AE70" s="64">
        <f t="shared" si="98"/>
        <v>0.16663579545594298</v>
      </c>
      <c r="AF70" s="86">
        <f t="shared" si="83"/>
        <v>0.03772727272727275</v>
      </c>
      <c r="AG70" s="64">
        <f t="shared" si="99"/>
        <v>0.7498610795517434</v>
      </c>
      <c r="AH70" s="64">
        <f t="shared" si="100"/>
        <v>0.7370091111672359</v>
      </c>
      <c r="AI70" s="87">
        <f t="shared" si="101"/>
        <v>0.012851968384507528</v>
      </c>
      <c r="AJ70" s="87">
        <f t="shared" si="84"/>
        <v>0</v>
      </c>
      <c r="AK70" s="88">
        <f t="shared" si="85"/>
        <v>261.0954545454555</v>
      </c>
      <c r="AL70" s="89">
        <f t="shared" si="86"/>
        <v>0</v>
      </c>
      <c r="AM70" s="90">
        <f t="shared" si="87"/>
        <v>255.09545454545542</v>
      </c>
      <c r="AN70" s="89">
        <f t="shared" si="102"/>
        <v>0</v>
      </c>
      <c r="AO70" s="89">
        <f t="shared" si="103"/>
        <v>0.0925175619834715</v>
      </c>
      <c r="AP70" s="91">
        <f t="shared" si="104"/>
        <v>0</v>
      </c>
      <c r="AQ70" s="89">
        <f t="shared" si="105"/>
        <v>0</v>
      </c>
      <c r="AR70" s="90">
        <f t="shared" si="88"/>
        <v>3.0222320481075347</v>
      </c>
      <c r="AS70" s="89">
        <f t="shared" si="106"/>
        <v>0</v>
      </c>
      <c r="AT70" s="90">
        <f t="shared" si="107"/>
        <v>3.022232048107535</v>
      </c>
      <c r="AU70" s="89">
        <f t="shared" si="108"/>
        <v>0</v>
      </c>
      <c r="AV70" s="89">
        <f t="shared" si="109"/>
        <v>0</v>
      </c>
      <c r="AW70" s="89">
        <f t="shared" si="110"/>
        <v>0</v>
      </c>
      <c r="AX70" s="89">
        <f t="shared" si="111"/>
        <v>0</v>
      </c>
      <c r="AY70" s="89">
        <f t="shared" si="112"/>
        <v>0</v>
      </c>
      <c r="AZ70" s="90" t="b">
        <f t="shared" si="113"/>
        <v>0</v>
      </c>
      <c r="BA70" s="90" t="b">
        <f t="shared" si="114"/>
        <v>0</v>
      </c>
      <c r="BB70" s="64" t="b">
        <f t="shared" si="115"/>
        <v>0</v>
      </c>
      <c r="BC70" s="92">
        <f t="shared" si="116"/>
        <v>0</v>
      </c>
      <c r="BD70" s="90">
        <f t="shared" si="117"/>
        <v>0.10536953036797903</v>
      </c>
      <c r="BE70" s="64"/>
      <c r="BF70" s="90">
        <f aca="true" t="shared" si="121" ref="BF70:BF104">IF(BD70&gt;FF,FF,BD70)</f>
        <v>0.10536953036797903</v>
      </c>
      <c r="BG70" s="64"/>
      <c r="BH70" s="64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</row>
    <row r="71" spans="1:203" ht="12.75">
      <c r="A71" s="64"/>
      <c r="B71" s="64"/>
      <c r="C71" s="64"/>
      <c r="D71" s="64"/>
      <c r="E71" s="64"/>
      <c r="F71" s="64">
        <f aca="true" t="shared" si="122" ref="F71:F94">F70+1</f>
        <v>66</v>
      </c>
      <c r="G71" s="64">
        <f t="shared" si="118"/>
        <v>2.64</v>
      </c>
      <c r="H71" s="75">
        <v>1</v>
      </c>
      <c r="I71" s="64">
        <f t="shared" si="93"/>
        <v>-12</v>
      </c>
      <c r="J71" s="64">
        <f t="shared" si="89"/>
        <v>27.1296</v>
      </c>
      <c r="K71" s="64">
        <f t="shared" si="90"/>
        <v>5.956643350075611</v>
      </c>
      <c r="L71" s="64">
        <f t="shared" si="74"/>
        <v>8.978321675037805</v>
      </c>
      <c r="M71" s="64">
        <f t="shared" si="91"/>
        <v>2.64</v>
      </c>
      <c r="N71" s="64">
        <f t="shared" si="92"/>
        <v>1.4505064444001086</v>
      </c>
      <c r="O71" s="64">
        <f t="shared" si="94"/>
        <v>5.9911810982936835</v>
      </c>
      <c r="P71" s="64">
        <f t="shared" si="75"/>
        <v>12</v>
      </c>
      <c r="Q71" s="64">
        <f t="shared" si="76"/>
        <v>0.30720000000000014</v>
      </c>
      <c r="R71" s="64">
        <f t="shared" si="95"/>
        <v>0</v>
      </c>
      <c r="S71" s="93">
        <f t="shared" si="77"/>
        <v>17.683981098293682</v>
      </c>
      <c r="T71" s="94">
        <f aca="true" t="shared" si="123" ref="T71:T105">ROUND(G71,3)</f>
        <v>2.64</v>
      </c>
      <c r="U71" s="95">
        <f t="shared" si="78"/>
        <v>17.683981098293682</v>
      </c>
      <c r="V71" s="64"/>
      <c r="W71" s="75">
        <f t="shared" si="119"/>
        <v>13.199999999999985</v>
      </c>
      <c r="X71" s="86">
        <f t="shared" si="120"/>
        <v>-0.00815384615384597</v>
      </c>
      <c r="Y71" s="64">
        <f t="shared" si="96"/>
        <v>1.0000591715976332</v>
      </c>
      <c r="Z71" s="64">
        <f t="shared" si="97"/>
        <v>-12.046279289940829</v>
      </c>
      <c r="AA71" s="64">
        <f t="shared" si="79"/>
        <v>36.048989562130174</v>
      </c>
      <c r="AB71" s="64">
        <f t="shared" si="80"/>
        <v>0.953076165641975</v>
      </c>
      <c r="AC71" s="64">
        <f t="shared" si="81"/>
        <v>6.499293154231979</v>
      </c>
      <c r="AD71" s="64">
        <f t="shared" si="82"/>
        <v>0.04184071657101523</v>
      </c>
      <c r="AE71" s="64">
        <f t="shared" si="98"/>
        <v>0.16720912655979547</v>
      </c>
      <c r="AF71" s="86">
        <f t="shared" si="83"/>
        <v>0.03800000000000002</v>
      </c>
      <c r="AG71" s="64">
        <f t="shared" si="99"/>
        <v>0.7524410695190796</v>
      </c>
      <c r="AH71" s="64">
        <f t="shared" si="100"/>
        <v>0.7394531614175609</v>
      </c>
      <c r="AI71" s="87">
        <f t="shared" si="101"/>
        <v>0.01298790810151873</v>
      </c>
      <c r="AJ71" s="87">
        <f t="shared" si="84"/>
        <v>0</v>
      </c>
      <c r="AK71" s="88">
        <f t="shared" si="85"/>
        <v>261.0600000000009</v>
      </c>
      <c r="AL71" s="89">
        <f aca="true" t="shared" si="124" ref="AL71:AL76">IF(AND(X71&gt;0,X71&lt;h,AF71&gt;=h),bz*h-(h-X71)^2/DT/2,0)</f>
        <v>0</v>
      </c>
      <c r="AM71" s="90">
        <f t="shared" si="87"/>
        <v>255.0600000000009</v>
      </c>
      <c r="AN71" s="89">
        <f t="shared" si="102"/>
        <v>0</v>
      </c>
      <c r="AO71" s="89">
        <f t="shared" si="103"/>
        <v>0.09386000000000043</v>
      </c>
      <c r="AP71" s="91">
        <f t="shared" si="104"/>
        <v>0</v>
      </c>
      <c r="AQ71" s="89">
        <f t="shared" si="105"/>
        <v>0</v>
      </c>
      <c r="AR71" s="90">
        <f t="shared" si="88"/>
        <v>3.0226459143968873</v>
      </c>
      <c r="AS71" s="89">
        <f t="shared" si="106"/>
        <v>0</v>
      </c>
      <c r="AT71" s="90">
        <f t="shared" si="107"/>
        <v>3.0226459143968873</v>
      </c>
      <c r="AU71" s="89">
        <f t="shared" si="108"/>
        <v>0</v>
      </c>
      <c r="AV71" s="89">
        <f t="shared" si="109"/>
        <v>0</v>
      </c>
      <c r="AW71" s="89">
        <f t="shared" si="110"/>
        <v>0</v>
      </c>
      <c r="AX71" s="89">
        <f t="shared" si="111"/>
        <v>0</v>
      </c>
      <c r="AY71" s="89">
        <f t="shared" si="112"/>
        <v>0</v>
      </c>
      <c r="AZ71" s="90" t="b">
        <f t="shared" si="113"/>
        <v>0</v>
      </c>
      <c r="BA71" s="90" t="b">
        <f t="shared" si="114"/>
        <v>0</v>
      </c>
      <c r="BB71" s="64" t="b">
        <f t="shared" si="115"/>
        <v>0</v>
      </c>
      <c r="BC71" s="92">
        <f t="shared" si="116"/>
        <v>0</v>
      </c>
      <c r="BD71" s="90">
        <f t="shared" si="117"/>
        <v>0.10684790810151916</v>
      </c>
      <c r="BE71" s="64"/>
      <c r="BF71" s="90">
        <f t="shared" si="121"/>
        <v>0.10684790810151916</v>
      </c>
      <c r="BG71" s="64"/>
      <c r="BH71" s="64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</row>
    <row r="72" spans="1:157" ht="12.75">
      <c r="A72" s="64"/>
      <c r="B72" s="64"/>
      <c r="C72" s="64"/>
      <c r="D72" s="64"/>
      <c r="E72" s="64"/>
      <c r="F72" s="64">
        <f t="shared" si="122"/>
        <v>67</v>
      </c>
      <c r="G72" s="64">
        <f t="shared" si="118"/>
        <v>2.68</v>
      </c>
      <c r="H72" s="75">
        <v>1</v>
      </c>
      <c r="I72" s="64">
        <f t="shared" si="93"/>
        <v>-12</v>
      </c>
      <c r="J72" s="64">
        <f t="shared" si="89"/>
        <v>27.1024</v>
      </c>
      <c r="K72" s="64">
        <f t="shared" si="90"/>
        <v>5.965769020000691</v>
      </c>
      <c r="L72" s="64">
        <f t="shared" si="74"/>
        <v>8.982884510000346</v>
      </c>
      <c r="M72" s="64">
        <f t="shared" si="91"/>
        <v>2.68</v>
      </c>
      <c r="N72" s="64">
        <f t="shared" si="92"/>
        <v>1.4639263458241114</v>
      </c>
      <c r="O72" s="64">
        <f t="shared" si="94"/>
        <v>6.110407034608446</v>
      </c>
      <c r="P72" s="64">
        <f t="shared" si="75"/>
        <v>12</v>
      </c>
      <c r="Q72" s="64">
        <f t="shared" si="76"/>
        <v>0.34680000000000016</v>
      </c>
      <c r="R72" s="64">
        <f t="shared" si="95"/>
        <v>0</v>
      </c>
      <c r="S72" s="93">
        <f t="shared" si="77"/>
        <v>17.763607034608444</v>
      </c>
      <c r="T72" s="94">
        <f t="shared" si="123"/>
        <v>2.68</v>
      </c>
      <c r="U72" s="95">
        <f t="shared" si="78"/>
        <v>17.763607034608444</v>
      </c>
      <c r="V72" s="64"/>
      <c r="W72" s="75">
        <f t="shared" si="119"/>
        <v>13.399999999999984</v>
      </c>
      <c r="X72" s="86">
        <f t="shared" si="120"/>
        <v>-0.007881118881118695</v>
      </c>
      <c r="Y72" s="64">
        <f t="shared" si="96"/>
        <v>1.0000591715976332</v>
      </c>
      <c r="Z72" s="64">
        <f t="shared" si="97"/>
        <v>-12.046275094136632</v>
      </c>
      <c r="AA72" s="64">
        <f t="shared" si="79"/>
        <v>36.04734882532153</v>
      </c>
      <c r="AB72" s="64">
        <f t="shared" si="80"/>
        <v>0.9564603627169771</v>
      </c>
      <c r="AC72" s="64">
        <f t="shared" si="81"/>
        <v>6.500983054873261</v>
      </c>
      <c r="AD72" s="64">
        <f t="shared" si="82"/>
        <v>0.04212644307944467</v>
      </c>
      <c r="AE72" s="64">
        <f t="shared" si="98"/>
        <v>0.16778042176417496</v>
      </c>
      <c r="AF72" s="86">
        <f t="shared" si="83"/>
        <v>0.03827272727272729</v>
      </c>
      <c r="AG72" s="64">
        <f t="shared" si="99"/>
        <v>0.7550118979387873</v>
      </c>
      <c r="AH72" s="64">
        <f t="shared" si="100"/>
        <v>0.7418875883961807</v>
      </c>
      <c r="AI72" s="87">
        <f t="shared" si="101"/>
        <v>0.013124309542606571</v>
      </c>
      <c r="AJ72" s="87">
        <f t="shared" si="84"/>
        <v>0</v>
      </c>
      <c r="AK72" s="88">
        <f t="shared" si="85"/>
        <v>261.02454545454634</v>
      </c>
      <c r="AL72" s="89">
        <f t="shared" si="124"/>
        <v>0</v>
      </c>
      <c r="AM72" s="90">
        <f t="shared" si="87"/>
        <v>255.02454545454637</v>
      </c>
      <c r="AN72" s="89">
        <f t="shared" si="102"/>
        <v>0</v>
      </c>
      <c r="AO72" s="89">
        <f t="shared" si="103"/>
        <v>0.09521210743801697</v>
      </c>
      <c r="AP72" s="91">
        <f t="shared" si="104"/>
        <v>0</v>
      </c>
      <c r="AQ72" s="89">
        <f t="shared" si="105"/>
        <v>0</v>
      </c>
      <c r="AR72" s="90">
        <f t="shared" si="88"/>
        <v>3.0230597806862405</v>
      </c>
      <c r="AS72" s="89">
        <f t="shared" si="106"/>
        <v>0</v>
      </c>
      <c r="AT72" s="90">
        <f t="shared" si="107"/>
        <v>3.02305978068624</v>
      </c>
      <c r="AU72" s="89">
        <f t="shared" si="108"/>
        <v>0</v>
      </c>
      <c r="AV72" s="89">
        <f t="shared" si="109"/>
        <v>0</v>
      </c>
      <c r="AW72" s="89">
        <f t="shared" si="110"/>
        <v>0</v>
      </c>
      <c r="AX72" s="89">
        <f t="shared" si="111"/>
        <v>0</v>
      </c>
      <c r="AY72" s="89">
        <f t="shared" si="112"/>
        <v>0</v>
      </c>
      <c r="AZ72" s="90" t="b">
        <f t="shared" si="113"/>
        <v>0</v>
      </c>
      <c r="BA72" s="90" t="b">
        <f t="shared" si="114"/>
        <v>0</v>
      </c>
      <c r="BB72" s="64" t="b">
        <f t="shared" si="115"/>
        <v>0</v>
      </c>
      <c r="BC72" s="92">
        <f t="shared" si="116"/>
        <v>0</v>
      </c>
      <c r="BD72" s="90">
        <f t="shared" si="117"/>
        <v>0.10833641698062355</v>
      </c>
      <c r="BE72" s="64"/>
      <c r="BF72" s="90">
        <f t="shared" si="121"/>
        <v>0.10833641698062355</v>
      </c>
      <c r="BG72" s="64"/>
      <c r="BH72" s="64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</row>
    <row r="73" spans="1:157" ht="12.75">
      <c r="A73" s="64"/>
      <c r="B73" s="64"/>
      <c r="C73" s="64"/>
      <c r="D73" s="64"/>
      <c r="E73" s="64"/>
      <c r="F73" s="64">
        <f t="shared" si="122"/>
        <v>68</v>
      </c>
      <c r="G73" s="64">
        <f t="shared" si="118"/>
        <v>2.72</v>
      </c>
      <c r="H73" s="75">
        <v>1</v>
      </c>
      <c r="I73" s="64">
        <f t="shared" si="93"/>
        <v>-12</v>
      </c>
      <c r="J73" s="64">
        <f t="shared" si="89"/>
        <v>27.078400000000002</v>
      </c>
      <c r="K73" s="64">
        <f t="shared" si="90"/>
        <v>5.973809504830229</v>
      </c>
      <c r="L73" s="64">
        <f t="shared" si="74"/>
        <v>8.986904752415114</v>
      </c>
      <c r="M73" s="64">
        <f t="shared" si="91"/>
        <v>2.72</v>
      </c>
      <c r="N73" s="64">
        <f t="shared" si="92"/>
        <v>1.4773269533338038</v>
      </c>
      <c r="O73" s="64">
        <f t="shared" si="94"/>
        <v>6.229804624664002</v>
      </c>
      <c r="P73" s="64">
        <f t="shared" si="75"/>
        <v>12</v>
      </c>
      <c r="Q73" s="64">
        <f t="shared" si="76"/>
        <v>0.38880000000000026</v>
      </c>
      <c r="R73" s="64">
        <f t="shared" si="95"/>
        <v>0</v>
      </c>
      <c r="S73" s="93">
        <f t="shared" si="77"/>
        <v>17.841004624664002</v>
      </c>
      <c r="T73" s="94">
        <f t="shared" si="123"/>
        <v>2.72</v>
      </c>
      <c r="U73" s="95">
        <f t="shared" si="78"/>
        <v>17.841004624664002</v>
      </c>
      <c r="V73" s="64"/>
      <c r="W73" s="75">
        <f t="shared" si="119"/>
        <v>13.599999999999984</v>
      </c>
      <c r="X73" s="86">
        <f t="shared" si="120"/>
        <v>-0.007608391608391423</v>
      </c>
      <c r="Y73" s="64">
        <f t="shared" si="96"/>
        <v>1.0000591715976332</v>
      </c>
      <c r="Z73" s="64">
        <f t="shared" si="97"/>
        <v>-12.046270898332436</v>
      </c>
      <c r="AA73" s="64">
        <f t="shared" si="79"/>
        <v>36.04570823727322</v>
      </c>
      <c r="AB73" s="64">
        <f t="shared" si="80"/>
        <v>0.9598323178249285</v>
      </c>
      <c r="AC73" s="64">
        <f t="shared" si="81"/>
        <v>6.502666834893184</v>
      </c>
      <c r="AD73" s="64">
        <f t="shared" si="82"/>
        <v>0.04241212250617135</v>
      </c>
      <c r="AE73" s="64">
        <f t="shared" si="98"/>
        <v>0.16834970278921046</v>
      </c>
      <c r="AF73" s="86">
        <f t="shared" si="83"/>
        <v>0.03854545454545456</v>
      </c>
      <c r="AG73" s="64">
        <f t="shared" si="99"/>
        <v>0.7575736625514471</v>
      </c>
      <c r="AH73" s="64">
        <f t="shared" si="100"/>
        <v>0.7443124915218352</v>
      </c>
      <c r="AI73" s="87">
        <f t="shared" si="101"/>
        <v>0.013261171029611885</v>
      </c>
      <c r="AJ73" s="87">
        <f t="shared" si="84"/>
        <v>0</v>
      </c>
      <c r="AK73" s="88">
        <f t="shared" si="85"/>
        <v>260.9890909090918</v>
      </c>
      <c r="AL73" s="89">
        <f t="shared" si="124"/>
        <v>0</v>
      </c>
      <c r="AM73" s="90">
        <f t="shared" si="87"/>
        <v>254.9890909090918</v>
      </c>
      <c r="AN73" s="89">
        <f t="shared" si="102"/>
        <v>0</v>
      </c>
      <c r="AO73" s="89">
        <f t="shared" si="103"/>
        <v>0.09657388429752109</v>
      </c>
      <c r="AP73" s="91">
        <f t="shared" si="104"/>
        <v>0</v>
      </c>
      <c r="AQ73" s="89">
        <f t="shared" si="105"/>
        <v>0</v>
      </c>
      <c r="AR73" s="90">
        <f t="shared" si="88"/>
        <v>3.023473646975593</v>
      </c>
      <c r="AS73" s="89">
        <f t="shared" si="106"/>
        <v>0</v>
      </c>
      <c r="AT73" s="90">
        <f t="shared" si="107"/>
        <v>3.023473646975593</v>
      </c>
      <c r="AU73" s="89">
        <f t="shared" si="108"/>
        <v>0</v>
      </c>
      <c r="AV73" s="89">
        <f t="shared" si="109"/>
        <v>0</v>
      </c>
      <c r="AW73" s="89">
        <f t="shared" si="110"/>
        <v>0</v>
      </c>
      <c r="AX73" s="89">
        <f t="shared" si="111"/>
        <v>0</v>
      </c>
      <c r="AY73" s="89">
        <f t="shared" si="112"/>
        <v>0</v>
      </c>
      <c r="AZ73" s="90" t="b">
        <f t="shared" si="113"/>
        <v>0</v>
      </c>
      <c r="BA73" s="90" t="b">
        <f t="shared" si="114"/>
        <v>0</v>
      </c>
      <c r="BB73" s="64" t="b">
        <f t="shared" si="115"/>
        <v>0</v>
      </c>
      <c r="BC73" s="92">
        <f t="shared" si="116"/>
        <v>0</v>
      </c>
      <c r="BD73" s="90">
        <f t="shared" si="117"/>
        <v>0.10983505532713297</v>
      </c>
      <c r="BE73" s="64"/>
      <c r="BF73" s="90">
        <f t="shared" si="121"/>
        <v>0.10983505532713297</v>
      </c>
      <c r="BG73" s="64"/>
      <c r="BH73" s="64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</row>
    <row r="74" spans="1:157" ht="12.75">
      <c r="A74" s="64"/>
      <c r="B74" s="64"/>
      <c r="C74" s="64"/>
      <c r="D74" s="64"/>
      <c r="E74" s="64"/>
      <c r="F74" s="64">
        <f t="shared" si="122"/>
        <v>69</v>
      </c>
      <c r="G74" s="64">
        <f t="shared" si="118"/>
        <v>2.76</v>
      </c>
      <c r="H74" s="75">
        <v>1</v>
      </c>
      <c r="I74" s="64">
        <f t="shared" si="93"/>
        <v>-12</v>
      </c>
      <c r="J74" s="64">
        <f t="shared" si="89"/>
        <v>27.057599999999997</v>
      </c>
      <c r="K74" s="64">
        <f t="shared" si="90"/>
        <v>5.980769181301015</v>
      </c>
      <c r="L74" s="64">
        <f t="shared" si="74"/>
        <v>8.990384590650507</v>
      </c>
      <c r="M74" s="64">
        <f t="shared" si="91"/>
        <v>2.76</v>
      </c>
      <c r="N74" s="64">
        <f t="shared" si="92"/>
        <v>1.4907107467612375</v>
      </c>
      <c r="O74" s="64">
        <f t="shared" si="94"/>
        <v>6.349352209547508</v>
      </c>
      <c r="P74" s="64">
        <f t="shared" si="75"/>
        <v>12</v>
      </c>
      <c r="Q74" s="64">
        <f t="shared" si="76"/>
        <v>0.43319999999999975</v>
      </c>
      <c r="R74" s="64">
        <f t="shared" si="95"/>
        <v>0</v>
      </c>
      <c r="S74" s="93">
        <f t="shared" si="77"/>
        <v>17.91615220954751</v>
      </c>
      <c r="T74" s="94">
        <f t="shared" si="123"/>
        <v>2.76</v>
      </c>
      <c r="U74" s="95">
        <f t="shared" si="78"/>
        <v>17.91615220954751</v>
      </c>
      <c r="V74" s="64"/>
      <c r="W74" s="75">
        <f t="shared" si="119"/>
        <v>13.799999999999983</v>
      </c>
      <c r="X74" s="86">
        <f t="shared" si="120"/>
        <v>-0.007335664335664151</v>
      </c>
      <c r="Y74" s="64">
        <f t="shared" si="96"/>
        <v>1.0000591715976332</v>
      </c>
      <c r="Z74" s="64">
        <f t="shared" si="97"/>
        <v>-12.046266702528241</v>
      </c>
      <c r="AA74" s="64">
        <f t="shared" si="79"/>
        <v>36.044067797985235</v>
      </c>
      <c r="AB74" s="64">
        <f t="shared" si="80"/>
        <v>0.9631921595364181</v>
      </c>
      <c r="AC74" s="64">
        <f t="shared" si="81"/>
        <v>6.504344558573242</v>
      </c>
      <c r="AD74" s="64">
        <f t="shared" si="82"/>
        <v>0.0426977553456683</v>
      </c>
      <c r="AE74" s="64">
        <f t="shared" si="98"/>
        <v>0.16891699097222368</v>
      </c>
      <c r="AF74" s="86">
        <f t="shared" si="83"/>
        <v>0.038818181818181835</v>
      </c>
      <c r="AG74" s="64">
        <f t="shared" si="99"/>
        <v>0.7601264593750066</v>
      </c>
      <c r="AH74" s="64">
        <f t="shared" si="100"/>
        <v>0.7467279684730089</v>
      </c>
      <c r="AI74" s="87">
        <f t="shared" si="101"/>
        <v>0.013398490901997628</v>
      </c>
      <c r="AJ74" s="87">
        <f t="shared" si="84"/>
        <v>0</v>
      </c>
      <c r="AK74" s="88">
        <f t="shared" si="85"/>
        <v>260.95363636363726</v>
      </c>
      <c r="AL74" s="89">
        <f t="shared" si="124"/>
        <v>0</v>
      </c>
      <c r="AM74" s="90">
        <f t="shared" si="87"/>
        <v>254.95363636363726</v>
      </c>
      <c r="AN74" s="89">
        <f t="shared" si="102"/>
        <v>0</v>
      </c>
      <c r="AO74" s="89">
        <f t="shared" si="103"/>
        <v>0.09794533057851283</v>
      </c>
      <c r="AP74" s="91">
        <f t="shared" si="104"/>
        <v>0</v>
      </c>
      <c r="AQ74" s="89">
        <f t="shared" si="105"/>
        <v>0</v>
      </c>
      <c r="AR74" s="90">
        <f t="shared" si="88"/>
        <v>3.0238875132649454</v>
      </c>
      <c r="AS74" s="89">
        <f t="shared" si="106"/>
        <v>0</v>
      </c>
      <c r="AT74" s="90">
        <f t="shared" si="107"/>
        <v>3.0238875132649454</v>
      </c>
      <c r="AU74" s="89">
        <f t="shared" si="108"/>
        <v>0</v>
      </c>
      <c r="AV74" s="89">
        <f t="shared" si="109"/>
        <v>0</v>
      </c>
      <c r="AW74" s="89">
        <f t="shared" si="110"/>
        <v>0</v>
      </c>
      <c r="AX74" s="89">
        <f t="shared" si="111"/>
        <v>0</v>
      </c>
      <c r="AY74" s="89">
        <f t="shared" si="112"/>
        <v>0</v>
      </c>
      <c r="AZ74" s="90" t="b">
        <f t="shared" si="113"/>
        <v>0</v>
      </c>
      <c r="BA74" s="90" t="b">
        <f t="shared" si="114"/>
        <v>0</v>
      </c>
      <c r="BB74" s="64" t="b">
        <f t="shared" si="115"/>
        <v>0</v>
      </c>
      <c r="BC74" s="92">
        <f t="shared" si="116"/>
        <v>0</v>
      </c>
      <c r="BD74" s="90">
        <f t="shared" si="117"/>
        <v>0.11134382148051046</v>
      </c>
      <c r="BE74" s="64"/>
      <c r="BF74" s="90">
        <f t="shared" si="121"/>
        <v>0.11134382148051046</v>
      </c>
      <c r="BG74" s="64"/>
      <c r="BH74" s="64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</row>
    <row r="75" spans="1:157" ht="12.75">
      <c r="A75" s="64"/>
      <c r="B75" s="64"/>
      <c r="C75" s="64"/>
      <c r="D75" s="64"/>
      <c r="E75" s="64"/>
      <c r="F75" s="64">
        <f t="shared" si="122"/>
        <v>70</v>
      </c>
      <c r="G75" s="64">
        <f t="shared" si="118"/>
        <v>2.8</v>
      </c>
      <c r="H75" s="75">
        <v>1</v>
      </c>
      <c r="I75" s="64">
        <f t="shared" si="93"/>
        <v>-12</v>
      </c>
      <c r="J75" s="64">
        <f t="shared" si="89"/>
        <v>27.04</v>
      </c>
      <c r="K75" s="64">
        <f t="shared" si="90"/>
        <v>5.986651818838307</v>
      </c>
      <c r="L75" s="64">
        <f t="shared" si="74"/>
        <v>8.993325909419154</v>
      </c>
      <c r="M75" s="64">
        <f t="shared" si="91"/>
        <v>2.8</v>
      </c>
      <c r="N75" s="64">
        <f t="shared" si="92"/>
        <v>1.5040801783846713</v>
      </c>
      <c r="O75" s="64">
        <f t="shared" si="94"/>
        <v>6.469028211789105</v>
      </c>
      <c r="P75" s="64">
        <f t="shared" si="75"/>
        <v>12</v>
      </c>
      <c r="Q75" s="64">
        <f t="shared" si="76"/>
        <v>0.47999999999999976</v>
      </c>
      <c r="R75" s="64">
        <f t="shared" si="95"/>
        <v>0</v>
      </c>
      <c r="S75" s="93">
        <f t="shared" si="77"/>
        <v>17.989028211789105</v>
      </c>
      <c r="T75" s="94">
        <f t="shared" si="123"/>
        <v>2.8</v>
      </c>
      <c r="U75" s="95">
        <f t="shared" si="78"/>
        <v>17.989028211789105</v>
      </c>
      <c r="V75" s="64"/>
      <c r="W75" s="75">
        <f t="shared" si="119"/>
        <v>13.999999999999982</v>
      </c>
      <c r="X75" s="86">
        <f t="shared" si="120"/>
        <v>-0.00706293706293688</v>
      </c>
      <c r="Y75" s="64">
        <f t="shared" si="96"/>
        <v>1.0000591715976332</v>
      </c>
      <c r="Z75" s="64">
        <f t="shared" si="97"/>
        <v>-12.046262506724045</v>
      </c>
      <c r="AA75" s="64">
        <f t="shared" si="79"/>
        <v>36.042427507457575</v>
      </c>
      <c r="AB75" s="64">
        <f t="shared" si="80"/>
        <v>0.9665400141754965</v>
      </c>
      <c r="AC75" s="64">
        <f t="shared" si="81"/>
        <v>6.506016289071718</v>
      </c>
      <c r="AD75" s="64">
        <f t="shared" si="82"/>
        <v>0.04298334208376847</v>
      </c>
      <c r="AE75" s="64">
        <f t="shared" si="98"/>
        <v>0.16948230727710656</v>
      </c>
      <c r="AF75" s="86">
        <f t="shared" si="83"/>
        <v>0.03909090909090911</v>
      </c>
      <c r="AG75" s="64">
        <f t="shared" si="99"/>
        <v>0.7626703827469795</v>
      </c>
      <c r="AH75" s="64">
        <f t="shared" si="100"/>
        <v>0.7491341152302667</v>
      </c>
      <c r="AI75" s="87">
        <f t="shared" si="101"/>
        <v>0.013536267516712774</v>
      </c>
      <c r="AJ75" s="87">
        <f t="shared" si="84"/>
        <v>0</v>
      </c>
      <c r="AK75" s="88">
        <f t="shared" si="85"/>
        <v>260.91818181818275</v>
      </c>
      <c r="AL75" s="89">
        <f t="shared" si="124"/>
        <v>0</v>
      </c>
      <c r="AM75" s="90">
        <f t="shared" si="87"/>
        <v>254.91818181818272</v>
      </c>
      <c r="AN75" s="89">
        <f t="shared" si="102"/>
        <v>0</v>
      </c>
      <c r="AO75" s="89">
        <f t="shared" si="103"/>
        <v>0.09932644628099217</v>
      </c>
      <c r="AP75" s="91">
        <f t="shared" si="104"/>
        <v>0</v>
      </c>
      <c r="AQ75" s="89">
        <f t="shared" si="105"/>
        <v>0</v>
      </c>
      <c r="AR75" s="90">
        <f t="shared" si="88"/>
        <v>3.024301379554298</v>
      </c>
      <c r="AS75" s="89">
        <f t="shared" si="106"/>
        <v>0</v>
      </c>
      <c r="AT75" s="90">
        <f t="shared" si="107"/>
        <v>3.024301379554298</v>
      </c>
      <c r="AU75" s="89">
        <f t="shared" si="108"/>
        <v>0</v>
      </c>
      <c r="AV75" s="89">
        <f t="shared" si="109"/>
        <v>0</v>
      </c>
      <c r="AW75" s="89">
        <f t="shared" si="110"/>
        <v>0</v>
      </c>
      <c r="AX75" s="89">
        <f t="shared" si="111"/>
        <v>0</v>
      </c>
      <c r="AY75" s="89">
        <f t="shared" si="112"/>
        <v>0</v>
      </c>
      <c r="AZ75" s="90" t="b">
        <f t="shared" si="113"/>
        <v>0</v>
      </c>
      <c r="BA75" s="90" t="b">
        <f t="shared" si="114"/>
        <v>0</v>
      </c>
      <c r="BB75" s="64" t="b">
        <f t="shared" si="115"/>
        <v>0</v>
      </c>
      <c r="BC75" s="92">
        <f t="shared" si="116"/>
        <v>0</v>
      </c>
      <c r="BD75" s="90">
        <f t="shared" si="117"/>
        <v>0.11286271379770495</v>
      </c>
      <c r="BE75" s="64"/>
      <c r="BF75" s="90">
        <f t="shared" si="121"/>
        <v>0.11286271379770495</v>
      </c>
      <c r="BG75" s="64"/>
      <c r="BH75" s="64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</row>
    <row r="76" spans="1:157" ht="12.75">
      <c r="A76" s="64"/>
      <c r="B76" s="64"/>
      <c r="C76" s="64"/>
      <c r="D76" s="64"/>
      <c r="E76" s="64"/>
      <c r="F76" s="64">
        <f t="shared" si="122"/>
        <v>71</v>
      </c>
      <c r="G76" s="64">
        <f t="shared" si="118"/>
        <v>2.84</v>
      </c>
      <c r="H76" s="75">
        <v>1</v>
      </c>
      <c r="I76" s="64">
        <f t="shared" si="93"/>
        <v>-12</v>
      </c>
      <c r="J76" s="64">
        <f t="shared" si="89"/>
        <v>27.025600000000004</v>
      </c>
      <c r="K76" s="64">
        <f t="shared" si="90"/>
        <v>5.991460589872888</v>
      </c>
      <c r="L76" s="64">
        <f t="shared" si="74"/>
        <v>8.995730294936443</v>
      </c>
      <c r="M76" s="64">
        <f t="shared" si="91"/>
        <v>2.84</v>
      </c>
      <c r="N76" s="64">
        <f t="shared" si="92"/>
        <v>1.5174376770925875</v>
      </c>
      <c r="O76" s="64">
        <f t="shared" si="94"/>
        <v>6.588811123321729</v>
      </c>
      <c r="P76" s="64">
        <f t="shared" si="75"/>
        <v>12</v>
      </c>
      <c r="Q76" s="64">
        <f t="shared" si="76"/>
        <v>0.5291999999999999</v>
      </c>
      <c r="R76" s="64">
        <f t="shared" si="95"/>
        <v>0</v>
      </c>
      <c r="S76" s="93">
        <f t="shared" si="77"/>
        <v>18.05961112332173</v>
      </c>
      <c r="T76" s="94">
        <f t="shared" si="123"/>
        <v>2.84</v>
      </c>
      <c r="U76" s="95">
        <f t="shared" si="78"/>
        <v>18.05961112332173</v>
      </c>
      <c r="V76" s="64"/>
      <c r="W76" s="75">
        <f t="shared" si="119"/>
        <v>14.199999999999982</v>
      </c>
      <c r="X76" s="86">
        <f t="shared" si="120"/>
        <v>-0.006790209790209608</v>
      </c>
      <c r="Y76" s="64">
        <f t="shared" si="96"/>
        <v>1.0000591715976332</v>
      </c>
      <c r="Z76" s="64">
        <f t="shared" si="97"/>
        <v>-12.04625831091985</v>
      </c>
      <c r="AA76" s="64">
        <f t="shared" si="79"/>
        <v>36.04078736569025</v>
      </c>
      <c r="AB76" s="64">
        <f t="shared" si="80"/>
        <v>0.9698760058744599</v>
      </c>
      <c r="AC76" s="64">
        <f t="shared" si="81"/>
        <v>6.507682088451092</v>
      </c>
      <c r="AD76" s="64">
        <f t="shared" si="82"/>
        <v>0.04326888319787553</v>
      </c>
      <c r="AE76" s="64">
        <f t="shared" si="98"/>
        <v>0.17004567230340317</v>
      </c>
      <c r="AF76" s="86">
        <f t="shared" si="83"/>
        <v>0.03936363636363638</v>
      </c>
      <c r="AG76" s="64">
        <f t="shared" si="99"/>
        <v>0.7652055253653143</v>
      </c>
      <c r="AH76" s="64">
        <f t="shared" si="100"/>
        <v>0.7515310261175775</v>
      </c>
      <c r="AI76" s="87">
        <f t="shared" si="101"/>
        <v>0.013674499247736782</v>
      </c>
      <c r="AJ76" s="87">
        <f t="shared" si="84"/>
        <v>0</v>
      </c>
      <c r="AK76" s="88">
        <f t="shared" si="85"/>
        <v>260.8827272727282</v>
      </c>
      <c r="AL76" s="89">
        <f t="shared" si="124"/>
        <v>0</v>
      </c>
      <c r="AM76" s="90">
        <f t="shared" si="87"/>
        <v>254.8827272727282</v>
      </c>
      <c r="AN76" s="89">
        <f t="shared" si="102"/>
        <v>0</v>
      </c>
      <c r="AO76" s="89">
        <f t="shared" si="103"/>
        <v>0.10071723140495911</v>
      </c>
      <c r="AP76" s="91">
        <f t="shared" si="104"/>
        <v>0</v>
      </c>
      <c r="AQ76" s="89">
        <f t="shared" si="105"/>
        <v>0</v>
      </c>
      <c r="AR76" s="90">
        <f t="shared" si="88"/>
        <v>3.024715245843651</v>
      </c>
      <c r="AS76" s="89">
        <f t="shared" si="106"/>
        <v>0</v>
      </c>
      <c r="AT76" s="90">
        <f t="shared" si="107"/>
        <v>3.024715245843651</v>
      </c>
      <c r="AU76" s="89">
        <f t="shared" si="108"/>
        <v>0</v>
      </c>
      <c r="AV76" s="89">
        <f t="shared" si="109"/>
        <v>0</v>
      </c>
      <c r="AW76" s="89">
        <f t="shared" si="110"/>
        <v>0</v>
      </c>
      <c r="AX76" s="89">
        <f t="shared" si="111"/>
        <v>0</v>
      </c>
      <c r="AY76" s="89">
        <f t="shared" si="112"/>
        <v>0</v>
      </c>
      <c r="AZ76" s="90" t="b">
        <f t="shared" si="113"/>
        <v>0</v>
      </c>
      <c r="BA76" s="90" t="b">
        <f t="shared" si="114"/>
        <v>0</v>
      </c>
      <c r="BB76" s="64" t="b">
        <f t="shared" si="115"/>
        <v>0</v>
      </c>
      <c r="BC76" s="92">
        <f t="shared" si="116"/>
        <v>0</v>
      </c>
      <c r="BD76" s="90">
        <f t="shared" si="117"/>
        <v>0.1143917306526959</v>
      </c>
      <c r="BE76" s="64"/>
      <c r="BF76" s="90">
        <f t="shared" si="121"/>
        <v>0.1143917306526959</v>
      </c>
      <c r="BG76" s="64"/>
      <c r="BH76" s="64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</row>
    <row r="77" spans="1:157" ht="12.75">
      <c r="A77" s="64"/>
      <c r="B77" s="64"/>
      <c r="C77" s="64"/>
      <c r="D77" s="64"/>
      <c r="E77" s="64"/>
      <c r="F77" s="64">
        <f t="shared" si="122"/>
        <v>72</v>
      </c>
      <c r="G77" s="64">
        <f t="shared" si="118"/>
        <v>2.88</v>
      </c>
      <c r="H77" s="75">
        <v>1</v>
      </c>
      <c r="I77" s="64">
        <f t="shared" si="93"/>
        <v>-12</v>
      </c>
      <c r="J77" s="64">
        <f t="shared" si="89"/>
        <v>27.014399999999995</v>
      </c>
      <c r="K77" s="64">
        <f t="shared" si="90"/>
        <v>5.995198078462464</v>
      </c>
      <c r="L77" s="64">
        <f t="shared" si="74"/>
        <v>8.997599039231233</v>
      </c>
      <c r="M77" s="64">
        <f t="shared" si="91"/>
        <v>2.88</v>
      </c>
      <c r="N77" s="64">
        <f t="shared" si="92"/>
        <v>1.5307856524409076</v>
      </c>
      <c r="O77" s="64">
        <f t="shared" si="94"/>
        <v>6.7086794936302105</v>
      </c>
      <c r="P77" s="64">
        <f t="shared" si="75"/>
        <v>12</v>
      </c>
      <c r="Q77" s="64">
        <f t="shared" si="76"/>
        <v>0.5808</v>
      </c>
      <c r="R77" s="64">
        <f t="shared" si="95"/>
        <v>0</v>
      </c>
      <c r="S77" s="93">
        <f t="shared" si="77"/>
        <v>18.12787949363021</v>
      </c>
      <c r="T77" s="94">
        <f t="shared" si="123"/>
        <v>2.88</v>
      </c>
      <c r="U77" s="95">
        <f t="shared" si="78"/>
        <v>18.12787949363021</v>
      </c>
      <c r="V77" s="64"/>
      <c r="W77" s="75">
        <f t="shared" si="119"/>
        <v>14.39999999999998</v>
      </c>
      <c r="X77" s="86">
        <f t="shared" si="120"/>
        <v>-0.006517482517482333</v>
      </c>
      <c r="Y77" s="64">
        <f t="shared" si="96"/>
        <v>1.0000591715976332</v>
      </c>
      <c r="Z77" s="64">
        <f t="shared" si="97"/>
        <v>-12.046254115115653</v>
      </c>
      <c r="AA77" s="64">
        <f t="shared" si="79"/>
        <v>36.03914737268326</v>
      </c>
      <c r="AB77" s="64">
        <f t="shared" si="80"/>
        <v>0.9732002566266731</v>
      </c>
      <c r="AC77" s="64">
        <f t="shared" si="81"/>
        <v>6.5093420177044345</v>
      </c>
      <c r="AD77" s="64">
        <f t="shared" si="82"/>
        <v>0.043554379157166985</v>
      </c>
      <c r="AE77" s="64">
        <f t="shared" si="98"/>
        <v>0.1706071062951129</v>
      </c>
      <c r="AF77" s="86">
        <f t="shared" si="83"/>
        <v>0.03963636363636366</v>
      </c>
      <c r="AG77" s="64">
        <f t="shared" si="99"/>
        <v>0.767731978328008</v>
      </c>
      <c r="AH77" s="64">
        <f t="shared" si="100"/>
        <v>0.7539187938421458</v>
      </c>
      <c r="AI77" s="87">
        <f t="shared" si="101"/>
        <v>0.013813184485862218</v>
      </c>
      <c r="AJ77" s="87">
        <f t="shared" si="84"/>
        <v>0</v>
      </c>
      <c r="AK77" s="88">
        <f t="shared" si="85"/>
        <v>260.84727272727366</v>
      </c>
      <c r="AL77" s="89">
        <f t="shared" si="86"/>
        <v>0</v>
      </c>
      <c r="AM77" s="90">
        <f t="shared" si="87"/>
        <v>254.84727272727363</v>
      </c>
      <c r="AN77" s="89">
        <f t="shared" si="102"/>
        <v>0</v>
      </c>
      <c r="AO77" s="89">
        <f t="shared" si="103"/>
        <v>0.1021176859504137</v>
      </c>
      <c r="AP77" s="91">
        <f t="shared" si="104"/>
        <v>0</v>
      </c>
      <c r="AQ77" s="89">
        <f t="shared" si="105"/>
        <v>0</v>
      </c>
      <c r="AR77" s="90">
        <f t="shared" si="88"/>
        <v>3.025129112133003</v>
      </c>
      <c r="AS77" s="89">
        <f t="shared" si="106"/>
        <v>0</v>
      </c>
      <c r="AT77" s="90">
        <f t="shared" si="107"/>
        <v>3.0251291121330035</v>
      </c>
      <c r="AU77" s="89">
        <f t="shared" si="108"/>
        <v>0</v>
      </c>
      <c r="AV77" s="89">
        <f t="shared" si="109"/>
        <v>0</v>
      </c>
      <c r="AW77" s="89">
        <f t="shared" si="110"/>
        <v>0</v>
      </c>
      <c r="AX77" s="89">
        <f t="shared" si="111"/>
        <v>0</v>
      </c>
      <c r="AY77" s="89">
        <f t="shared" si="112"/>
        <v>0</v>
      </c>
      <c r="AZ77" s="90" t="b">
        <f t="shared" si="113"/>
        <v>0</v>
      </c>
      <c r="BA77" s="90" t="b">
        <f t="shared" si="114"/>
        <v>0</v>
      </c>
      <c r="BB77" s="64" t="b">
        <f t="shared" si="115"/>
        <v>0</v>
      </c>
      <c r="BC77" s="92">
        <f t="shared" si="116"/>
        <v>0</v>
      </c>
      <c r="BD77" s="90">
        <f t="shared" si="117"/>
        <v>0.11593087043627592</v>
      </c>
      <c r="BE77" s="64"/>
      <c r="BF77" s="90">
        <f t="shared" si="121"/>
        <v>0.11593087043627592</v>
      </c>
      <c r="BG77" s="64"/>
      <c r="BH77" s="64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</row>
    <row r="78" spans="1:157" ht="12.75">
      <c r="A78" s="64"/>
      <c r="B78" s="64"/>
      <c r="C78" s="64"/>
      <c r="D78" s="64"/>
      <c r="E78" s="64"/>
      <c r="F78" s="64">
        <f t="shared" si="122"/>
        <v>73</v>
      </c>
      <c r="G78" s="64">
        <f t="shared" si="118"/>
        <v>2.92</v>
      </c>
      <c r="H78" s="75">
        <v>1</v>
      </c>
      <c r="I78" s="64">
        <f t="shared" si="93"/>
        <v>-12</v>
      </c>
      <c r="J78" s="64">
        <f t="shared" si="89"/>
        <v>27.006399999999996</v>
      </c>
      <c r="K78" s="64">
        <f t="shared" si="90"/>
        <v>5.997866287272501</v>
      </c>
      <c r="L78" s="64">
        <f aca="true" t="shared" si="125" ref="L78:L105">IF(G78&gt;=R,(bz+R),(-I78+K78)/(2*H78))</f>
        <v>8.99893314363625</v>
      </c>
      <c r="M78" s="64">
        <f t="shared" si="91"/>
        <v>2.92</v>
      </c>
      <c r="N78" s="64">
        <f t="shared" si="92"/>
        <v>1.5441264986226164</v>
      </c>
      <c r="O78" s="64">
        <f t="shared" si="94"/>
        <v>6.828611918056325</v>
      </c>
      <c r="P78" s="64">
        <f aca="true" t="shared" si="126" ref="P78:P105">IF(G78&lt;=h,bz*G78,bz*h)</f>
        <v>12</v>
      </c>
      <c r="Q78" s="64">
        <f aca="true" t="shared" si="127" ref="Q78:Q105">IF(AND(G78&gt;h,G78&lt;=R,beta&gt;0),(G78-h)^2/2/TAN(beta),IF(G78&gt;R,tru,0))</f>
        <v>0.6347999999999999</v>
      </c>
      <c r="R78" s="64">
        <f t="shared" si="95"/>
        <v>0</v>
      </c>
      <c r="S78" s="93">
        <f t="shared" si="77"/>
        <v>18.193811918056326</v>
      </c>
      <c r="T78" s="94">
        <f t="shared" si="123"/>
        <v>2.92</v>
      </c>
      <c r="U78" s="95">
        <f t="shared" si="78"/>
        <v>18.193811918056326</v>
      </c>
      <c r="V78" s="64"/>
      <c r="W78" s="75">
        <f t="shared" si="119"/>
        <v>14.59999999999998</v>
      </c>
      <c r="X78" s="86">
        <f t="shared" si="120"/>
        <v>-0.006244755244755061</v>
      </c>
      <c r="Y78" s="64">
        <f t="shared" si="96"/>
        <v>1.0000591715976332</v>
      </c>
      <c r="Z78" s="64">
        <f t="shared" si="97"/>
        <v>-12.046249919311457</v>
      </c>
      <c r="AA78" s="64">
        <f t="shared" si="79"/>
        <v>36.0375075284366</v>
      </c>
      <c r="AB78" s="64">
        <f t="shared" si="80"/>
        <v>0.9765128863379959</v>
      </c>
      <c r="AC78" s="64">
        <f t="shared" si="81"/>
        <v>6.510996136781129</v>
      </c>
      <c r="AD78" s="64">
        <f t="shared" si="82"/>
        <v>0.04383983042279191</v>
      </c>
      <c r="AE78" s="64">
        <f t="shared" si="98"/>
        <v>0.17116662914922443</v>
      </c>
      <c r="AF78" s="86">
        <f t="shared" si="83"/>
        <v>0.03990909090909093</v>
      </c>
      <c r="AG78" s="64">
        <f t="shared" si="99"/>
        <v>0.7702498311715099</v>
      </c>
      <c r="AH78" s="64">
        <f t="shared" si="100"/>
        <v>0.7562975095331974</v>
      </c>
      <c r="AI78" s="87">
        <f t="shared" si="101"/>
        <v>0.013952321638312504</v>
      </c>
      <c r="AJ78" s="87">
        <f t="shared" si="84"/>
        <v>0</v>
      </c>
      <c r="AK78" s="88">
        <f t="shared" si="85"/>
        <v>260.81181818181904</v>
      </c>
      <c r="AL78" s="89">
        <f t="shared" si="86"/>
        <v>0</v>
      </c>
      <c r="AM78" s="90">
        <f t="shared" si="87"/>
        <v>254.8118181818191</v>
      </c>
      <c r="AN78" s="89">
        <f t="shared" si="102"/>
        <v>0</v>
      </c>
      <c r="AO78" s="89">
        <f t="shared" si="103"/>
        <v>0.10352780991735584</v>
      </c>
      <c r="AP78" s="91">
        <f t="shared" si="104"/>
        <v>0</v>
      </c>
      <c r="AQ78" s="89">
        <f t="shared" si="105"/>
        <v>0</v>
      </c>
      <c r="AR78" s="90">
        <f t="shared" si="88"/>
        <v>3.0255429784223566</v>
      </c>
      <c r="AS78" s="89">
        <f t="shared" si="106"/>
        <v>0</v>
      </c>
      <c r="AT78" s="90">
        <f t="shared" si="107"/>
        <v>3.025542978422356</v>
      </c>
      <c r="AU78" s="89">
        <f t="shared" si="108"/>
        <v>0</v>
      </c>
      <c r="AV78" s="89">
        <f t="shared" si="109"/>
        <v>0</v>
      </c>
      <c r="AW78" s="89">
        <f t="shared" si="110"/>
        <v>0</v>
      </c>
      <c r="AX78" s="89">
        <f t="shared" si="111"/>
        <v>0</v>
      </c>
      <c r="AY78" s="89">
        <f t="shared" si="112"/>
        <v>0</v>
      </c>
      <c r="AZ78" s="90" t="b">
        <f t="shared" si="113"/>
        <v>0</v>
      </c>
      <c r="BA78" s="90" t="b">
        <f t="shared" si="114"/>
        <v>0</v>
      </c>
      <c r="BB78" s="64" t="b">
        <f t="shared" si="115"/>
        <v>0</v>
      </c>
      <c r="BC78" s="92">
        <f t="shared" si="116"/>
        <v>0</v>
      </c>
      <c r="BD78" s="90">
        <f t="shared" si="117"/>
        <v>0.11748013155566835</v>
      </c>
      <c r="BE78" s="81"/>
      <c r="BF78" s="90">
        <f t="shared" si="121"/>
        <v>0.11748013155566835</v>
      </c>
      <c r="BG78" s="64"/>
      <c r="BH78" s="64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</row>
    <row r="79" spans="1:157" ht="12.75">
      <c r="A79" s="64"/>
      <c r="B79" s="64"/>
      <c r="C79" s="64"/>
      <c r="D79" s="64"/>
      <c r="E79" s="64"/>
      <c r="F79" s="64">
        <f t="shared" si="122"/>
        <v>74</v>
      </c>
      <c r="G79" s="64">
        <f t="shared" si="118"/>
        <v>2.96</v>
      </c>
      <c r="H79" s="75">
        <v>1</v>
      </c>
      <c r="I79" s="64">
        <f t="shared" si="93"/>
        <v>-12</v>
      </c>
      <c r="J79" s="64">
        <f t="shared" si="89"/>
        <v>27.001600000000003</v>
      </c>
      <c r="K79" s="64">
        <f t="shared" si="90"/>
        <v>5.999466642960854</v>
      </c>
      <c r="L79" s="64">
        <f t="shared" si="125"/>
        <v>8.999733321480427</v>
      </c>
      <c r="M79" s="64">
        <f t="shared" si="91"/>
        <v>2.96</v>
      </c>
      <c r="N79" s="64">
        <f t="shared" si="92"/>
        <v>1.5574625983682264</v>
      </c>
      <c r="O79" s="64">
        <f t="shared" si="94"/>
        <v>6.948587026227411</v>
      </c>
      <c r="P79" s="64">
        <f t="shared" si="126"/>
        <v>12</v>
      </c>
      <c r="Q79" s="64">
        <f t="shared" si="127"/>
        <v>0.6912</v>
      </c>
      <c r="R79" s="64">
        <f t="shared" si="95"/>
        <v>0</v>
      </c>
      <c r="S79" s="93">
        <f t="shared" si="77"/>
        <v>18.257387026227413</v>
      </c>
      <c r="T79" s="94">
        <f t="shared" si="123"/>
        <v>2.96</v>
      </c>
      <c r="U79" s="95">
        <f t="shared" si="78"/>
        <v>18.257387026227413</v>
      </c>
      <c r="V79" s="64"/>
      <c r="W79" s="75">
        <f t="shared" si="119"/>
        <v>14.79999999999998</v>
      </c>
      <c r="X79" s="86">
        <f t="shared" si="120"/>
        <v>-0.005972027972027789</v>
      </c>
      <c r="Y79" s="64">
        <f t="shared" si="96"/>
        <v>1.0000591715976332</v>
      </c>
      <c r="Z79" s="64">
        <f t="shared" si="97"/>
        <v>-12.046245723507262</v>
      </c>
      <c r="AA79" s="64">
        <f t="shared" si="79"/>
        <v>36.03586783295027</v>
      </c>
      <c r="AB79" s="64">
        <f t="shared" si="80"/>
        <v>0.9798140128763314</v>
      </c>
      <c r="AC79" s="64">
        <f t="shared" si="81"/>
        <v>6.512644504611642</v>
      </c>
      <c r="AD79" s="64">
        <f t="shared" si="82"/>
        <v>0.044125237448061586</v>
      </c>
      <c r="AE79" s="64">
        <f t="shared" si="98"/>
        <v>0.17172426042397593</v>
      </c>
      <c r="AF79" s="86">
        <f t="shared" si="83"/>
        <v>0.0401818181818182</v>
      </c>
      <c r="AG79" s="64">
        <f t="shared" si="99"/>
        <v>0.7727591719078917</v>
      </c>
      <c r="AH79" s="64">
        <f t="shared" si="100"/>
        <v>0.7586672627793565</v>
      </c>
      <c r="AI79" s="87">
        <f t="shared" si="101"/>
        <v>0.014091909128535196</v>
      </c>
      <c r="AJ79" s="87">
        <f t="shared" si="84"/>
        <v>0</v>
      </c>
      <c r="AK79" s="88">
        <f t="shared" si="85"/>
        <v>260.7763636363645</v>
      </c>
      <c r="AL79" s="89">
        <f t="shared" si="86"/>
        <v>0</v>
      </c>
      <c r="AM79" s="90">
        <f t="shared" si="87"/>
        <v>254.77636363636455</v>
      </c>
      <c r="AN79" s="89">
        <f t="shared" si="102"/>
        <v>0</v>
      </c>
      <c r="AO79" s="89">
        <f t="shared" si="103"/>
        <v>0.1049476033057856</v>
      </c>
      <c r="AP79" s="91">
        <f t="shared" si="104"/>
        <v>0</v>
      </c>
      <c r="AQ79" s="89">
        <f t="shared" si="105"/>
        <v>0</v>
      </c>
      <c r="AR79" s="90">
        <f t="shared" si="88"/>
        <v>3.025956844711709</v>
      </c>
      <c r="AS79" s="89">
        <f t="shared" si="106"/>
        <v>0</v>
      </c>
      <c r="AT79" s="90">
        <f t="shared" si="107"/>
        <v>3.025956844711709</v>
      </c>
      <c r="AU79" s="89">
        <f t="shared" si="108"/>
        <v>0</v>
      </c>
      <c r="AV79" s="89">
        <f t="shared" si="109"/>
        <v>0</v>
      </c>
      <c r="AW79" s="89">
        <f t="shared" si="110"/>
        <v>0</v>
      </c>
      <c r="AX79" s="89">
        <f t="shared" si="111"/>
        <v>0</v>
      </c>
      <c r="AY79" s="89">
        <f t="shared" si="112"/>
        <v>0</v>
      </c>
      <c r="AZ79" s="90" t="b">
        <f t="shared" si="113"/>
        <v>0</v>
      </c>
      <c r="BA79" s="90" t="b">
        <f t="shared" si="114"/>
        <v>0</v>
      </c>
      <c r="BB79" s="64" t="b">
        <f t="shared" si="115"/>
        <v>0</v>
      </c>
      <c r="BC79" s="92">
        <f t="shared" si="116"/>
        <v>0</v>
      </c>
      <c r="BD79" s="90">
        <f t="shared" si="117"/>
        <v>0.1190395124343208</v>
      </c>
      <c r="BE79" s="81"/>
      <c r="BF79" s="90">
        <f t="shared" si="121"/>
        <v>0.1190395124343208</v>
      </c>
      <c r="BG79" s="64"/>
      <c r="BH79" s="64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</row>
    <row r="80" spans="1:157" ht="12.75">
      <c r="A80" s="64"/>
      <c r="B80" s="64"/>
      <c r="C80" s="64"/>
      <c r="D80" s="64"/>
      <c r="E80" s="64"/>
      <c r="F80" s="64">
        <f t="shared" si="122"/>
        <v>75</v>
      </c>
      <c r="G80" s="64">
        <f t="shared" si="118"/>
        <v>3</v>
      </c>
      <c r="H80" s="75">
        <v>1</v>
      </c>
      <c r="I80" s="64">
        <f t="shared" si="93"/>
        <v>-12</v>
      </c>
      <c r="J80" s="64">
        <f t="shared" si="89"/>
        <v>27</v>
      </c>
      <c r="K80" s="64">
        <f t="shared" si="90"/>
        <v>6</v>
      </c>
      <c r="L80" s="64">
        <f t="shared" si="125"/>
        <v>9</v>
      </c>
      <c r="M80" s="64">
        <f t="shared" si="91"/>
        <v>3</v>
      </c>
      <c r="N80" s="64">
        <f t="shared" si="92"/>
        <v>1.5707963267948966</v>
      </c>
      <c r="O80" s="64">
        <f t="shared" si="94"/>
        <v>7.0685834705770345</v>
      </c>
      <c r="P80" s="64">
        <f t="shared" si="126"/>
        <v>12</v>
      </c>
      <c r="Q80" s="64">
        <f t="shared" si="127"/>
        <v>0.75</v>
      </c>
      <c r="R80" s="64">
        <f t="shared" si="95"/>
        <v>0</v>
      </c>
      <c r="S80" s="93">
        <f t="shared" si="77"/>
        <v>18.318583470577035</v>
      </c>
      <c r="T80" s="94">
        <f t="shared" si="123"/>
        <v>3</v>
      </c>
      <c r="U80" s="95">
        <f t="shared" si="78"/>
        <v>18.318583470577035</v>
      </c>
      <c r="V80" s="64"/>
      <c r="W80" s="75">
        <f t="shared" si="119"/>
        <v>14.999999999999979</v>
      </c>
      <c r="X80" s="86">
        <f t="shared" si="120"/>
        <v>-0.005699300699300518</v>
      </c>
      <c r="Y80" s="64">
        <f t="shared" si="96"/>
        <v>1.0000591715976332</v>
      </c>
      <c r="Z80" s="64">
        <f t="shared" si="97"/>
        <v>-12.046241527703065</v>
      </c>
      <c r="AA80" s="64">
        <f t="shared" si="79"/>
        <v>36.03422828622426</v>
      </c>
      <c r="AB80" s="64">
        <f t="shared" si="80"/>
        <v>0.9831037521198529</v>
      </c>
      <c r="AC80" s="64">
        <f t="shared" si="81"/>
        <v>6.514287179131628</v>
      </c>
      <c r="AD80" s="64">
        <f t="shared" si="82"/>
        <v>0.04441060067863491</v>
      </c>
      <c r="AE80" s="64">
        <f t="shared" si="98"/>
        <v>0.17228001934688386</v>
      </c>
      <c r="AF80" s="86">
        <f t="shared" si="83"/>
        <v>0.04045454545454547</v>
      </c>
      <c r="AG80" s="64">
        <f t="shared" si="99"/>
        <v>0.7752600870609774</v>
      </c>
      <c r="AH80" s="64">
        <f t="shared" si="100"/>
        <v>0.761028141665007</v>
      </c>
      <c r="AI80" s="87">
        <f t="shared" si="101"/>
        <v>0.014231945395970391</v>
      </c>
      <c r="AJ80" s="87">
        <f t="shared" si="84"/>
        <v>0</v>
      </c>
      <c r="AK80" s="88">
        <f t="shared" si="85"/>
        <v>260.74090909091</v>
      </c>
      <c r="AL80" s="89">
        <f t="shared" si="86"/>
        <v>0</v>
      </c>
      <c r="AM80" s="90">
        <f t="shared" si="87"/>
        <v>254.74090909090998</v>
      </c>
      <c r="AN80" s="89">
        <f t="shared" si="102"/>
        <v>0</v>
      </c>
      <c r="AO80" s="89">
        <f t="shared" si="103"/>
        <v>0.10637706611570295</v>
      </c>
      <c r="AP80" s="91">
        <f t="shared" si="104"/>
        <v>0</v>
      </c>
      <c r="AQ80" s="89">
        <f t="shared" si="105"/>
        <v>0</v>
      </c>
      <c r="AR80" s="90">
        <f t="shared" si="88"/>
        <v>3.0263707110010616</v>
      </c>
      <c r="AS80" s="89">
        <f t="shared" si="106"/>
        <v>0</v>
      </c>
      <c r="AT80" s="90">
        <f t="shared" si="107"/>
        <v>3.0263707110010616</v>
      </c>
      <c r="AU80" s="89">
        <f t="shared" si="108"/>
        <v>0</v>
      </c>
      <c r="AV80" s="89">
        <f t="shared" si="109"/>
        <v>0</v>
      </c>
      <c r="AW80" s="89">
        <f t="shared" si="110"/>
        <v>0</v>
      </c>
      <c r="AX80" s="89">
        <f t="shared" si="111"/>
        <v>0</v>
      </c>
      <c r="AY80" s="89">
        <f t="shared" si="112"/>
        <v>0</v>
      </c>
      <c r="AZ80" s="90" t="b">
        <f t="shared" si="113"/>
        <v>0</v>
      </c>
      <c r="BA80" s="90" t="b">
        <f t="shared" si="114"/>
        <v>0</v>
      </c>
      <c r="BB80" s="64" t="b">
        <f t="shared" si="115"/>
        <v>0</v>
      </c>
      <c r="BC80" s="92">
        <f t="shared" si="116"/>
        <v>0</v>
      </c>
      <c r="BD80" s="90">
        <f t="shared" si="117"/>
        <v>0.12060901151167334</v>
      </c>
      <c r="BE80" s="81"/>
      <c r="BF80" s="90">
        <f t="shared" si="121"/>
        <v>0.12060901151167334</v>
      </c>
      <c r="BG80" s="64"/>
      <c r="BH80" s="64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</row>
    <row r="81" spans="1:157" ht="12.75">
      <c r="A81" s="64"/>
      <c r="B81" s="64"/>
      <c r="C81" s="64"/>
      <c r="D81" s="64"/>
      <c r="E81" s="64"/>
      <c r="F81" s="64">
        <f t="shared" si="122"/>
        <v>76</v>
      </c>
      <c r="G81" s="64">
        <f t="shared" si="118"/>
        <v>3.04</v>
      </c>
      <c r="H81" s="75">
        <v>1</v>
      </c>
      <c r="I81" s="64">
        <f t="shared" si="93"/>
        <v>-12</v>
      </c>
      <c r="J81" s="64">
        <f t="shared" si="89"/>
        <v>27.001599999999996</v>
      </c>
      <c r="K81" s="64">
        <f t="shared" si="90"/>
        <v>5.999466642960857</v>
      </c>
      <c r="L81" s="64">
        <f t="shared" si="125"/>
        <v>9</v>
      </c>
      <c r="M81" s="64">
        <f t="shared" si="91"/>
        <v>3.04</v>
      </c>
      <c r="N81" s="64">
        <f t="shared" si="92"/>
        <v>1.5841300552215667</v>
      </c>
      <c r="O81" s="64">
        <f t="shared" si="94"/>
        <v>7.0685834705770345</v>
      </c>
      <c r="P81" s="64">
        <f t="shared" si="126"/>
        <v>12</v>
      </c>
      <c r="Q81" s="64">
        <f t="shared" si="127"/>
        <v>0.75</v>
      </c>
      <c r="R81" s="64">
        <f t="shared" si="95"/>
        <v>0.058800000000000054</v>
      </c>
      <c r="S81" s="93">
        <f t="shared" si="77"/>
        <v>18.377383470577037</v>
      </c>
      <c r="T81" s="94">
        <f t="shared" si="123"/>
        <v>3.04</v>
      </c>
      <c r="U81" s="95">
        <f t="shared" si="78"/>
        <v>18.377383470577037</v>
      </c>
      <c r="V81" s="64"/>
      <c r="W81" s="75">
        <f t="shared" si="119"/>
        <v>15.199999999999978</v>
      </c>
      <c r="X81" s="86">
        <f t="shared" si="120"/>
        <v>-0.005426573426573246</v>
      </c>
      <c r="Y81" s="64">
        <f t="shared" si="96"/>
        <v>1.0000591715976332</v>
      </c>
      <c r="Z81" s="64">
        <f t="shared" si="97"/>
        <v>-12.04623733189887</v>
      </c>
      <c r="AA81" s="64">
        <f t="shared" si="79"/>
        <v>36.032588888258594</v>
      </c>
      <c r="AB81" s="64">
        <f t="shared" si="80"/>
        <v>0.9863822180038185</v>
      </c>
      <c r="AC81" s="64">
        <f t="shared" si="81"/>
        <v>6.51592421730535</v>
      </c>
      <c r="AD81" s="64">
        <f t="shared" si="82"/>
        <v>0.0446959205526985</v>
      </c>
      <c r="AE81" s="64">
        <f t="shared" si="98"/>
        <v>0.17283392482250814</v>
      </c>
      <c r="AF81" s="86">
        <f aca="true" t="shared" si="128" ref="AF81:AF105">X81+DT*bz</f>
        <v>0.040727272727272744</v>
      </c>
      <c r="AG81" s="64">
        <f t="shared" si="99"/>
        <v>0.7777526617012867</v>
      </c>
      <c r="AH81" s="64">
        <f t="shared" si="100"/>
        <v>0.7633802328056248</v>
      </c>
      <c r="AI81" s="87">
        <f t="shared" si="101"/>
        <v>0.014372428895661815</v>
      </c>
      <c r="AJ81" s="87">
        <f aca="true" t="shared" si="129" ref="AJ81:AJ105">IF(AND(h&lt;=X81,AF81&gt;=h),h*bz,0)</f>
        <v>0</v>
      </c>
      <c r="AK81" s="88">
        <f aca="true" t="shared" si="130" ref="AK81:AK105">(h-X81)/DT</f>
        <v>260.70545454545544</v>
      </c>
      <c r="AL81" s="89">
        <f aca="true" t="shared" si="131" ref="AL81:AL105">IF(AND(X81&gt;0,X81&lt;h,AF81&gt;=h),bz*h-(h-X81)*AK81/2,0)</f>
        <v>0</v>
      </c>
      <c r="AM81" s="90">
        <f aca="true" t="shared" si="132" ref="AM81:AM105">(h-AF81)/DT</f>
        <v>254.70545454545544</v>
      </c>
      <c r="AN81" s="89">
        <f t="shared" si="102"/>
        <v>0</v>
      </c>
      <c r="AO81" s="89">
        <f t="shared" si="103"/>
        <v>0.10781619834710791</v>
      </c>
      <c r="AP81" s="91">
        <f t="shared" si="104"/>
        <v>0</v>
      </c>
      <c r="AQ81" s="89">
        <f t="shared" si="105"/>
        <v>0</v>
      </c>
      <c r="AR81" s="90">
        <f aca="true" t="shared" si="133" ref="AR81:AR105">IF((bz*TAN(beta)+X81-h)/(TAN(beta)-DT)&gt;bz+R,bz+R,(bz*TAN(beta)+X81-h)/(TAN(beta)-DT))</f>
        <v>3.0267845772904143</v>
      </c>
      <c r="AS81" s="89">
        <f t="shared" si="106"/>
        <v>0</v>
      </c>
      <c r="AT81" s="90">
        <f t="shared" si="107"/>
        <v>3.0267845772904143</v>
      </c>
      <c r="AU81" s="89">
        <f t="shared" si="108"/>
        <v>0</v>
      </c>
      <c r="AV81" s="89">
        <f t="shared" si="109"/>
        <v>0</v>
      </c>
      <c r="AW81" s="89">
        <f t="shared" si="110"/>
        <v>0</v>
      </c>
      <c r="AX81" s="89">
        <f t="shared" si="111"/>
        <v>0</v>
      </c>
      <c r="AY81" s="89">
        <f t="shared" si="112"/>
        <v>0</v>
      </c>
      <c r="AZ81" s="90" t="b">
        <f t="shared" si="113"/>
        <v>0</v>
      </c>
      <c r="BA81" s="90" t="b">
        <f t="shared" si="114"/>
        <v>0</v>
      </c>
      <c r="BB81" s="64" t="b">
        <f t="shared" si="115"/>
        <v>0</v>
      </c>
      <c r="BC81" s="92">
        <f t="shared" si="116"/>
        <v>0</v>
      </c>
      <c r="BD81" s="90">
        <f t="shared" si="117"/>
        <v>0.12218862724276973</v>
      </c>
      <c r="BE81" s="81"/>
      <c r="BF81" s="90">
        <f t="shared" si="121"/>
        <v>0.12218862724276973</v>
      </c>
      <c r="BG81" s="64"/>
      <c r="BH81" s="64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</row>
    <row r="82" spans="1:157" ht="12.75">
      <c r="A82" s="64"/>
      <c r="B82" s="64"/>
      <c r="C82" s="64"/>
      <c r="D82" s="64"/>
      <c r="E82" s="64"/>
      <c r="F82" s="64">
        <f t="shared" si="122"/>
        <v>77</v>
      </c>
      <c r="G82" s="64">
        <f t="shared" si="118"/>
        <v>3.08</v>
      </c>
      <c r="H82" s="75">
        <v>1</v>
      </c>
      <c r="I82" s="64">
        <f t="shared" si="93"/>
        <v>-12</v>
      </c>
      <c r="J82" s="64">
        <f t="shared" si="89"/>
        <v>27.006400000000003</v>
      </c>
      <c r="K82" s="64">
        <f t="shared" si="90"/>
        <v>5.997866287272498</v>
      </c>
      <c r="L82" s="64">
        <f t="shared" si="125"/>
        <v>9</v>
      </c>
      <c r="M82" s="64">
        <f t="shared" si="91"/>
        <v>3.08</v>
      </c>
      <c r="N82" s="64">
        <f t="shared" si="92"/>
        <v>1.5974661549671767</v>
      </c>
      <c r="O82" s="64">
        <f t="shared" si="94"/>
        <v>7.0685834705770345</v>
      </c>
      <c r="P82" s="64">
        <f t="shared" si="126"/>
        <v>12</v>
      </c>
      <c r="Q82" s="64">
        <f t="shared" si="127"/>
        <v>0.75</v>
      </c>
      <c r="R82" s="64">
        <f t="shared" si="95"/>
        <v>0.1152000000000001</v>
      </c>
      <c r="S82" s="93">
        <f t="shared" si="77"/>
        <v>18.433783470577037</v>
      </c>
      <c r="T82" s="94">
        <f t="shared" si="123"/>
        <v>3.08</v>
      </c>
      <c r="U82" s="95">
        <f t="shared" si="78"/>
        <v>18.433783470577037</v>
      </c>
      <c r="V82" s="64"/>
      <c r="W82" s="75">
        <f t="shared" si="119"/>
        <v>15.399999999999977</v>
      </c>
      <c r="X82" s="86">
        <f t="shared" si="120"/>
        <v>-0.005153846153845971</v>
      </c>
      <c r="Y82" s="64">
        <f t="shared" si="96"/>
        <v>1.0000591715976332</v>
      </c>
      <c r="Z82" s="64">
        <f t="shared" si="97"/>
        <v>-12.046233136094674</v>
      </c>
      <c r="AA82" s="64">
        <f t="shared" si="79"/>
        <v>36.030949639053254</v>
      </c>
      <c r="AB82" s="64">
        <f t="shared" si="80"/>
        <v>0.9896495225658228</v>
      </c>
      <c r="AC82" s="64">
        <f t="shared" si="81"/>
        <v>6.517555675148286</v>
      </c>
      <c r="AD82" s="64">
        <f t="shared" si="82"/>
        <v>0.04498119750114067</v>
      </c>
      <c r="AE82" s="64">
        <f t="shared" si="98"/>
        <v>0.17338599544000122</v>
      </c>
      <c r="AF82" s="86">
        <f t="shared" si="128"/>
        <v>0.04100000000000002</v>
      </c>
      <c r="AG82" s="64">
        <f t="shared" si="99"/>
        <v>0.7802369794800055</v>
      </c>
      <c r="AH82" s="64">
        <f t="shared" si="100"/>
        <v>0.7657236213818898</v>
      </c>
      <c r="AI82" s="87">
        <f t="shared" si="101"/>
        <v>0.014513358098115714</v>
      </c>
      <c r="AJ82" s="87">
        <f t="shared" si="129"/>
        <v>0</v>
      </c>
      <c r="AK82" s="88">
        <f t="shared" si="130"/>
        <v>260.6700000000009</v>
      </c>
      <c r="AL82" s="89">
        <f t="shared" si="131"/>
        <v>0</v>
      </c>
      <c r="AM82" s="90">
        <f t="shared" si="132"/>
        <v>254.67000000000093</v>
      </c>
      <c r="AN82" s="89">
        <f t="shared" si="102"/>
        <v>0</v>
      </c>
      <c r="AO82" s="89">
        <f t="shared" si="103"/>
        <v>0.10926500000000051</v>
      </c>
      <c r="AP82" s="91">
        <f t="shared" si="104"/>
        <v>0</v>
      </c>
      <c r="AQ82" s="89">
        <f t="shared" si="105"/>
        <v>0</v>
      </c>
      <c r="AR82" s="90">
        <f t="shared" si="133"/>
        <v>3.0271984435797665</v>
      </c>
      <c r="AS82" s="89">
        <f t="shared" si="106"/>
        <v>0</v>
      </c>
      <c r="AT82" s="90">
        <f t="shared" si="107"/>
        <v>3.0271984435797665</v>
      </c>
      <c r="AU82" s="89">
        <f t="shared" si="108"/>
        <v>0</v>
      </c>
      <c r="AV82" s="89">
        <f t="shared" si="109"/>
        <v>0</v>
      </c>
      <c r="AW82" s="89">
        <f t="shared" si="110"/>
        <v>0</v>
      </c>
      <c r="AX82" s="89">
        <f t="shared" si="111"/>
        <v>0</v>
      </c>
      <c r="AY82" s="89">
        <f t="shared" si="112"/>
        <v>0</v>
      </c>
      <c r="AZ82" s="90" t="b">
        <f t="shared" si="113"/>
        <v>0</v>
      </c>
      <c r="BA82" s="90" t="b">
        <f t="shared" si="114"/>
        <v>0</v>
      </c>
      <c r="BB82" s="64" t="b">
        <f t="shared" si="115"/>
        <v>0</v>
      </c>
      <c r="BC82" s="92">
        <f t="shared" si="116"/>
        <v>0</v>
      </c>
      <c r="BD82" s="90">
        <f t="shared" si="117"/>
        <v>0.12377835809811623</v>
      </c>
      <c r="BE82" s="81"/>
      <c r="BF82" s="90">
        <f t="shared" si="121"/>
        <v>0.12377835809811623</v>
      </c>
      <c r="BG82" s="64"/>
      <c r="BH82" s="64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</row>
    <row r="83" spans="1:157" ht="12.75">
      <c r="A83" s="64"/>
      <c r="B83" s="64"/>
      <c r="C83" s="64"/>
      <c r="D83" s="64"/>
      <c r="E83" s="64"/>
      <c r="F83" s="64">
        <f t="shared" si="122"/>
        <v>78</v>
      </c>
      <c r="G83" s="64">
        <f t="shared" si="118"/>
        <v>3.12</v>
      </c>
      <c r="H83" s="75">
        <v>1</v>
      </c>
      <c r="I83" s="64">
        <f t="shared" si="93"/>
        <v>-12</v>
      </c>
      <c r="J83" s="64">
        <f t="shared" si="89"/>
        <v>27.014400000000002</v>
      </c>
      <c r="K83" s="64">
        <f t="shared" si="90"/>
        <v>5.995198078462462</v>
      </c>
      <c r="L83" s="64">
        <f t="shared" si="125"/>
        <v>9</v>
      </c>
      <c r="M83" s="64">
        <f t="shared" si="91"/>
        <v>3.12</v>
      </c>
      <c r="N83" s="64">
        <f t="shared" si="92"/>
        <v>1.6108070011488855</v>
      </c>
      <c r="O83" s="64">
        <f t="shared" si="94"/>
        <v>7.0685834705770345</v>
      </c>
      <c r="P83" s="64">
        <f t="shared" si="126"/>
        <v>12</v>
      </c>
      <c r="Q83" s="64">
        <f t="shared" si="127"/>
        <v>0.75</v>
      </c>
      <c r="R83" s="64">
        <f t="shared" si="95"/>
        <v>0.16920000000000013</v>
      </c>
      <c r="S83" s="93">
        <f t="shared" si="77"/>
        <v>18.487783470577035</v>
      </c>
      <c r="T83" s="94">
        <f t="shared" si="123"/>
        <v>3.12</v>
      </c>
      <c r="U83" s="95">
        <f t="shared" si="78"/>
        <v>18.487783470577035</v>
      </c>
      <c r="V83" s="64"/>
      <c r="W83" s="75">
        <f t="shared" si="119"/>
        <v>15.599999999999977</v>
      </c>
      <c r="X83" s="86">
        <f t="shared" si="120"/>
        <v>-0.004881118881118699</v>
      </c>
      <c r="Y83" s="64">
        <f t="shared" si="96"/>
        <v>1.0000591715976332</v>
      </c>
      <c r="Z83" s="64">
        <f t="shared" si="97"/>
        <v>-12.04622894029048</v>
      </c>
      <c r="AA83" s="64">
        <f t="shared" si="79"/>
        <v>36.02931053860824</v>
      </c>
      <c r="AB83" s="64">
        <f t="shared" si="80"/>
        <v>0.9929057759899136</v>
      </c>
      <c r="AC83" s="64">
        <f t="shared" si="81"/>
        <v>6.519181607749205</v>
      </c>
      <c r="AD83" s="64">
        <f t="shared" si="82"/>
        <v>0.04526643194772116</v>
      </c>
      <c r="AE83" s="64">
        <f t="shared" si="98"/>
        <v>0.17393624948041908</v>
      </c>
      <c r="AF83" s="86">
        <f t="shared" si="128"/>
        <v>0.041272727272727294</v>
      </c>
      <c r="AG83" s="64">
        <f t="shared" si="99"/>
        <v>0.7827131226618859</v>
      </c>
      <c r="AH83" s="64">
        <f t="shared" si="100"/>
        <v>0.7680583911729835</v>
      </c>
      <c r="AI83" s="87">
        <f t="shared" si="101"/>
        <v>0.014654731488902395</v>
      </c>
      <c r="AJ83" s="87">
        <f t="shared" si="129"/>
        <v>0</v>
      </c>
      <c r="AK83" s="88">
        <f t="shared" si="130"/>
        <v>260.63454545454636</v>
      </c>
      <c r="AL83" s="89">
        <f t="shared" si="131"/>
        <v>0</v>
      </c>
      <c r="AM83" s="90">
        <f t="shared" si="132"/>
        <v>254.63454545454636</v>
      </c>
      <c r="AN83" s="89">
        <f t="shared" si="102"/>
        <v>0</v>
      </c>
      <c r="AO83" s="89">
        <f t="shared" si="103"/>
        <v>0.11072347107438067</v>
      </c>
      <c r="AP83" s="91">
        <f t="shared" si="104"/>
        <v>0</v>
      </c>
      <c r="AQ83" s="89">
        <f t="shared" si="105"/>
        <v>0</v>
      </c>
      <c r="AR83" s="90">
        <f t="shared" si="133"/>
        <v>3.0276123098691192</v>
      </c>
      <c r="AS83" s="89">
        <f t="shared" si="106"/>
        <v>0</v>
      </c>
      <c r="AT83" s="90">
        <f t="shared" si="107"/>
        <v>3.0276123098691197</v>
      </c>
      <c r="AU83" s="89">
        <f t="shared" si="108"/>
        <v>0</v>
      </c>
      <c r="AV83" s="89">
        <f t="shared" si="109"/>
        <v>0</v>
      </c>
      <c r="AW83" s="89">
        <f t="shared" si="110"/>
        <v>0</v>
      </c>
      <c r="AX83" s="89">
        <f t="shared" si="111"/>
        <v>0</v>
      </c>
      <c r="AY83" s="89">
        <f t="shared" si="112"/>
        <v>0</v>
      </c>
      <c r="AZ83" s="90" t="b">
        <f t="shared" si="113"/>
        <v>0</v>
      </c>
      <c r="BA83" s="90" t="b">
        <f t="shared" si="114"/>
        <v>0</v>
      </c>
      <c r="BB83" s="64" t="b">
        <f t="shared" si="115"/>
        <v>0</v>
      </c>
      <c r="BC83" s="92">
        <f t="shared" si="116"/>
        <v>0</v>
      </c>
      <c r="BD83" s="90">
        <f t="shared" si="117"/>
        <v>0.12537820256328308</v>
      </c>
      <c r="BE83" s="64"/>
      <c r="BF83" s="90">
        <f t="shared" si="121"/>
        <v>0.12537820256328308</v>
      </c>
      <c r="BG83" s="64"/>
      <c r="BH83" s="64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</row>
    <row r="84" spans="1:157" ht="12.75">
      <c r="A84" s="64"/>
      <c r="B84" s="64"/>
      <c r="C84" s="64"/>
      <c r="D84" s="64"/>
      <c r="E84" s="64"/>
      <c r="F84" s="64">
        <f t="shared" si="122"/>
        <v>79</v>
      </c>
      <c r="G84" s="64">
        <f t="shared" si="118"/>
        <v>3.16</v>
      </c>
      <c r="H84" s="75">
        <v>1</v>
      </c>
      <c r="I84" s="64">
        <f t="shared" si="93"/>
        <v>-12</v>
      </c>
      <c r="J84" s="64">
        <f t="shared" si="89"/>
        <v>27.025600000000004</v>
      </c>
      <c r="K84" s="64">
        <f t="shared" si="90"/>
        <v>5.991460589872888</v>
      </c>
      <c r="L84" s="64">
        <f t="shared" si="125"/>
        <v>9</v>
      </c>
      <c r="M84" s="64">
        <f t="shared" si="91"/>
        <v>3.16</v>
      </c>
      <c r="N84" s="64">
        <f t="shared" si="92"/>
        <v>1.6241549764972056</v>
      </c>
      <c r="O84" s="64">
        <f t="shared" si="94"/>
        <v>7.0685834705770345</v>
      </c>
      <c r="P84" s="64">
        <f t="shared" si="126"/>
        <v>12</v>
      </c>
      <c r="Q84" s="64">
        <f t="shared" si="127"/>
        <v>0.75</v>
      </c>
      <c r="R84" s="64">
        <f t="shared" si="95"/>
        <v>0.2208000000000002</v>
      </c>
      <c r="S84" s="93">
        <f t="shared" si="77"/>
        <v>18.539383470577036</v>
      </c>
      <c r="T84" s="94">
        <f t="shared" si="123"/>
        <v>3.16</v>
      </c>
      <c r="U84" s="95">
        <f t="shared" si="78"/>
        <v>18.539383470577036</v>
      </c>
      <c r="V84" s="64"/>
      <c r="W84" s="75">
        <f t="shared" si="119"/>
        <v>15.799999999999976</v>
      </c>
      <c r="X84" s="86">
        <f t="shared" si="120"/>
        <v>-0.004608391608391427</v>
      </c>
      <c r="Y84" s="64">
        <f t="shared" si="96"/>
        <v>1.0000591715976332</v>
      </c>
      <c r="Z84" s="64">
        <f t="shared" si="97"/>
        <v>-12.046224744486283</v>
      </c>
      <c r="AA84" s="64">
        <f t="shared" si="79"/>
        <v>36.02767158692357</v>
      </c>
      <c r="AB84" s="64">
        <f t="shared" si="80"/>
        <v>0.9961510866490751</v>
      </c>
      <c r="AC84" s="64">
        <f t="shared" si="81"/>
        <v>6.520802069291388</v>
      </c>
      <c r="AD84" s="64">
        <f t="shared" si="82"/>
        <v>0.045551624309234456</v>
      </c>
      <c r="AE84" s="64">
        <f t="shared" si="98"/>
        <v>0.1744847049238285</v>
      </c>
      <c r="AF84" s="86">
        <f t="shared" si="128"/>
        <v>0.041545454545454566</v>
      </c>
      <c r="AG84" s="64">
        <f t="shared" si="99"/>
        <v>0.7851811721572283</v>
      </c>
      <c r="AH84" s="64">
        <f t="shared" si="100"/>
        <v>0.7703846245886206</v>
      </c>
      <c r="AI84" s="87">
        <f t="shared" si="101"/>
        <v>0.01479654756860771</v>
      </c>
      <c r="AJ84" s="87">
        <f t="shared" si="129"/>
        <v>0</v>
      </c>
      <c r="AK84" s="88">
        <f t="shared" si="130"/>
        <v>260.5990909090918</v>
      </c>
      <c r="AL84" s="89">
        <f t="shared" si="131"/>
        <v>0</v>
      </c>
      <c r="AM84" s="90">
        <f t="shared" si="132"/>
        <v>254.5990909090918</v>
      </c>
      <c r="AN84" s="89">
        <f t="shared" si="102"/>
        <v>0</v>
      </c>
      <c r="AO84" s="89">
        <f t="shared" si="103"/>
        <v>0.11219161157024844</v>
      </c>
      <c r="AP84" s="91">
        <f t="shared" si="104"/>
        <v>0</v>
      </c>
      <c r="AQ84" s="89">
        <f t="shared" si="105"/>
        <v>0</v>
      </c>
      <c r="AR84" s="90">
        <f t="shared" si="133"/>
        <v>3.0280261761584724</v>
      </c>
      <c r="AS84" s="89">
        <f t="shared" si="106"/>
        <v>0</v>
      </c>
      <c r="AT84" s="90">
        <f t="shared" si="107"/>
        <v>3.0280261761584724</v>
      </c>
      <c r="AU84" s="89">
        <f t="shared" si="108"/>
        <v>0</v>
      </c>
      <c r="AV84" s="89">
        <f t="shared" si="109"/>
        <v>0</v>
      </c>
      <c r="AW84" s="89">
        <f t="shared" si="110"/>
        <v>0</v>
      </c>
      <c r="AX84" s="89">
        <f t="shared" si="111"/>
        <v>0</v>
      </c>
      <c r="AY84" s="89">
        <f t="shared" si="112"/>
        <v>0</v>
      </c>
      <c r="AZ84" s="90" t="b">
        <f t="shared" si="113"/>
        <v>0</v>
      </c>
      <c r="BA84" s="90" t="b">
        <f t="shared" si="114"/>
        <v>0</v>
      </c>
      <c r="BB84" s="64" t="b">
        <f t="shared" si="115"/>
        <v>0</v>
      </c>
      <c r="BC84" s="92">
        <f t="shared" si="116"/>
        <v>0</v>
      </c>
      <c r="BD84" s="90">
        <f t="shared" si="117"/>
        <v>0.12698815913885614</v>
      </c>
      <c r="BE84" s="64"/>
      <c r="BF84" s="90">
        <f t="shared" si="121"/>
        <v>0.12698815913885614</v>
      </c>
      <c r="BG84" s="64"/>
      <c r="BH84" s="64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</row>
    <row r="85" spans="1:157" ht="12.75">
      <c r="A85" s="64"/>
      <c r="B85" s="64"/>
      <c r="C85" s="64"/>
      <c r="D85" s="64"/>
      <c r="E85" s="64"/>
      <c r="F85" s="64">
        <f t="shared" si="122"/>
        <v>80</v>
      </c>
      <c r="G85" s="64">
        <f t="shared" si="118"/>
        <v>3.2</v>
      </c>
      <c r="H85" s="75">
        <v>1</v>
      </c>
      <c r="I85" s="64">
        <f t="shared" si="93"/>
        <v>-12</v>
      </c>
      <c r="J85" s="64">
        <f t="shared" si="89"/>
        <v>27.04</v>
      </c>
      <c r="K85" s="64">
        <f t="shared" si="90"/>
        <v>5.986651818838307</v>
      </c>
      <c r="L85" s="64">
        <f t="shared" si="125"/>
        <v>9</v>
      </c>
      <c r="M85" s="64">
        <f t="shared" si="91"/>
        <v>3.2</v>
      </c>
      <c r="N85" s="64">
        <f t="shared" si="92"/>
        <v>1.6375124752051218</v>
      </c>
      <c r="O85" s="64">
        <f t="shared" si="94"/>
        <v>7.0685834705770345</v>
      </c>
      <c r="P85" s="64">
        <f t="shared" si="126"/>
        <v>12</v>
      </c>
      <c r="Q85" s="64">
        <f t="shared" si="127"/>
        <v>0.75</v>
      </c>
      <c r="R85" s="64">
        <f t="shared" si="95"/>
        <v>0.27000000000000024</v>
      </c>
      <c r="S85" s="93">
        <f t="shared" si="77"/>
        <v>18.588583470577035</v>
      </c>
      <c r="T85" s="94">
        <f t="shared" si="123"/>
        <v>3.2</v>
      </c>
      <c r="U85" s="95">
        <f t="shared" si="78"/>
        <v>18.588583470577035</v>
      </c>
      <c r="V85" s="64"/>
      <c r="W85" s="75">
        <f t="shared" si="119"/>
        <v>15.999999999999975</v>
      </c>
      <c r="X85" s="86">
        <f t="shared" si="120"/>
        <v>-0.004335664335664156</v>
      </c>
      <c r="Y85" s="64">
        <f t="shared" si="96"/>
        <v>1.0000591715976332</v>
      </c>
      <c r="Z85" s="64">
        <f t="shared" si="97"/>
        <v>-12.046220548682086</v>
      </c>
      <c r="AA85" s="64">
        <f t="shared" si="79"/>
        <v>36.02603278399922</v>
      </c>
      <c r="AB85" s="64">
        <f t="shared" si="80"/>
        <v>0.9993855611468577</v>
      </c>
      <c r="AC85" s="64">
        <f t="shared" si="81"/>
        <v>6.522417113073461</v>
      </c>
      <c r="AD85" s="64">
        <f t="shared" si="82"/>
        <v>0.045836774995669974</v>
      </c>
      <c r="AE85" s="64">
        <f t="shared" si="98"/>
        <v>0.17503137945618774</v>
      </c>
      <c r="AF85" s="86">
        <f t="shared" si="128"/>
        <v>0.04181818181818184</v>
      </c>
      <c r="AG85" s="64">
        <f t="shared" si="99"/>
        <v>0.7876412075528448</v>
      </c>
      <c r="AH85" s="64">
        <f t="shared" si="100"/>
        <v>0.7727024027004732</v>
      </c>
      <c r="AI85" s="87">
        <f t="shared" si="101"/>
        <v>0.014938804852371645</v>
      </c>
      <c r="AJ85" s="87">
        <f t="shared" si="129"/>
        <v>0</v>
      </c>
      <c r="AK85" s="88">
        <f t="shared" si="130"/>
        <v>260.5636363636373</v>
      </c>
      <c r="AL85" s="89">
        <f t="shared" si="131"/>
        <v>0</v>
      </c>
      <c r="AM85" s="90">
        <f t="shared" si="132"/>
        <v>254.56363636363727</v>
      </c>
      <c r="AN85" s="89">
        <f t="shared" si="102"/>
        <v>0</v>
      </c>
      <c r="AO85" s="89">
        <f t="shared" si="103"/>
        <v>0.11366942148760381</v>
      </c>
      <c r="AP85" s="91">
        <f t="shared" si="104"/>
        <v>0</v>
      </c>
      <c r="AQ85" s="89">
        <f t="shared" si="105"/>
        <v>0</v>
      </c>
      <c r="AR85" s="90">
        <f t="shared" si="133"/>
        <v>3.028440042447825</v>
      </c>
      <c r="AS85" s="89">
        <f t="shared" si="106"/>
        <v>0</v>
      </c>
      <c r="AT85" s="90">
        <f t="shared" si="107"/>
        <v>3.0284400424478246</v>
      </c>
      <c r="AU85" s="89">
        <f t="shared" si="108"/>
        <v>0</v>
      </c>
      <c r="AV85" s="89">
        <f t="shared" si="109"/>
        <v>0</v>
      </c>
      <c r="AW85" s="89">
        <f t="shared" si="110"/>
        <v>0</v>
      </c>
      <c r="AX85" s="89">
        <f t="shared" si="111"/>
        <v>0</v>
      </c>
      <c r="AY85" s="89">
        <f t="shared" si="112"/>
        <v>0</v>
      </c>
      <c r="AZ85" s="90" t="b">
        <f t="shared" si="113"/>
        <v>0</v>
      </c>
      <c r="BA85" s="90" t="b">
        <f t="shared" si="114"/>
        <v>0</v>
      </c>
      <c r="BB85" s="64" t="b">
        <f t="shared" si="115"/>
        <v>0</v>
      </c>
      <c r="BC85" s="92">
        <f t="shared" si="116"/>
        <v>0</v>
      </c>
      <c r="BD85" s="90">
        <f t="shared" si="117"/>
        <v>0.12860822633997546</v>
      </c>
      <c r="BE85" s="64"/>
      <c r="BF85" s="90">
        <f t="shared" si="121"/>
        <v>0.12860822633997546</v>
      </c>
      <c r="BG85" s="64"/>
      <c r="BH85" s="64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</row>
    <row r="86" spans="1:157" ht="12.75">
      <c r="A86" s="64"/>
      <c r="B86" s="64"/>
      <c r="C86" s="64"/>
      <c r="D86" s="64"/>
      <c r="E86" s="64"/>
      <c r="F86" s="64">
        <f t="shared" si="122"/>
        <v>81</v>
      </c>
      <c r="G86" s="64">
        <f t="shared" si="118"/>
        <v>3.24</v>
      </c>
      <c r="H86" s="75">
        <v>1</v>
      </c>
      <c r="I86" s="64">
        <f t="shared" si="93"/>
        <v>-12</v>
      </c>
      <c r="J86" s="64">
        <f t="shared" si="89"/>
        <v>27.057600000000004</v>
      </c>
      <c r="K86" s="64">
        <f t="shared" si="90"/>
        <v>5.980769181301013</v>
      </c>
      <c r="L86" s="64">
        <f t="shared" si="125"/>
        <v>9</v>
      </c>
      <c r="M86" s="64">
        <f t="shared" si="91"/>
        <v>3.24</v>
      </c>
      <c r="N86" s="64">
        <f t="shared" si="92"/>
        <v>1.6508819068285556</v>
      </c>
      <c r="O86" s="64">
        <f t="shared" si="94"/>
        <v>7.0685834705770345</v>
      </c>
      <c r="P86" s="64">
        <f t="shared" si="126"/>
        <v>12</v>
      </c>
      <c r="Q86" s="64">
        <f t="shared" si="127"/>
        <v>0.75</v>
      </c>
      <c r="R86" s="64">
        <f t="shared" si="95"/>
        <v>0.31680000000000025</v>
      </c>
      <c r="S86" s="93">
        <f t="shared" si="77"/>
        <v>18.635383470577036</v>
      </c>
      <c r="T86" s="94">
        <f t="shared" si="123"/>
        <v>3.24</v>
      </c>
      <c r="U86" s="95">
        <f t="shared" si="78"/>
        <v>18.635383470577036</v>
      </c>
      <c r="V86" s="64"/>
      <c r="W86" s="75">
        <f t="shared" si="119"/>
        <v>16.199999999999974</v>
      </c>
      <c r="X86" s="86">
        <f t="shared" si="120"/>
        <v>-0.004062937062936884</v>
      </c>
      <c r="Y86" s="64">
        <f t="shared" si="96"/>
        <v>1.0000591715976332</v>
      </c>
      <c r="Z86" s="64">
        <f t="shared" si="97"/>
        <v>-12.046216352877892</v>
      </c>
      <c r="AA86" s="64">
        <f t="shared" si="79"/>
        <v>36.0243941298352</v>
      </c>
      <c r="AB86" s="64">
        <f t="shared" si="80"/>
        <v>1.0026093043574953</v>
      </c>
      <c r="AC86" s="64">
        <f t="shared" si="81"/>
        <v>6.524026791529437</v>
      </c>
      <c r="AD86" s="64">
        <f t="shared" si="82"/>
        <v>0.0461218844103663</v>
      </c>
      <c r="AE86" s="64">
        <f t="shared" si="98"/>
        <v>0.17557629047604717</v>
      </c>
      <c r="AF86" s="86">
        <f t="shared" si="128"/>
        <v>0.04209090909090911</v>
      </c>
      <c r="AG86" s="64">
        <f t="shared" si="99"/>
        <v>0.7900933071422123</v>
      </c>
      <c r="AH86" s="64">
        <f t="shared" si="100"/>
        <v>0.775011805272422</v>
      </c>
      <c r="AI86" s="87">
        <f t="shared" si="101"/>
        <v>0.015081501869790293</v>
      </c>
      <c r="AJ86" s="87">
        <f t="shared" si="129"/>
        <v>0</v>
      </c>
      <c r="AK86" s="88">
        <f t="shared" si="130"/>
        <v>260.5281818181827</v>
      </c>
      <c r="AL86" s="89">
        <f t="shared" si="131"/>
        <v>0</v>
      </c>
      <c r="AM86" s="90">
        <f t="shared" si="132"/>
        <v>254.5281818181827</v>
      </c>
      <c r="AN86" s="89">
        <f t="shared" si="102"/>
        <v>0</v>
      </c>
      <c r="AO86" s="89">
        <f t="shared" si="103"/>
        <v>0.11515690082644679</v>
      </c>
      <c r="AP86" s="91">
        <f t="shared" si="104"/>
        <v>0</v>
      </c>
      <c r="AQ86" s="89">
        <f t="shared" si="105"/>
        <v>0</v>
      </c>
      <c r="AR86" s="90">
        <f t="shared" si="133"/>
        <v>3.0288539087371777</v>
      </c>
      <c r="AS86" s="89">
        <f t="shared" si="106"/>
        <v>0</v>
      </c>
      <c r="AT86" s="90">
        <f t="shared" si="107"/>
        <v>3.0288539087371777</v>
      </c>
      <c r="AU86" s="89">
        <f t="shared" si="108"/>
        <v>0</v>
      </c>
      <c r="AV86" s="89">
        <f t="shared" si="109"/>
        <v>0</v>
      </c>
      <c r="AW86" s="89">
        <f t="shared" si="110"/>
        <v>0</v>
      </c>
      <c r="AX86" s="89">
        <f t="shared" si="111"/>
        <v>0</v>
      </c>
      <c r="AY86" s="89">
        <f t="shared" si="112"/>
        <v>0</v>
      </c>
      <c r="AZ86" s="90" t="b">
        <f t="shared" si="113"/>
        <v>0</v>
      </c>
      <c r="BA86" s="90" t="b">
        <f t="shared" si="114"/>
        <v>0</v>
      </c>
      <c r="BB86" s="64" t="b">
        <f t="shared" si="115"/>
        <v>0</v>
      </c>
      <c r="BC86" s="92">
        <f t="shared" si="116"/>
        <v>0</v>
      </c>
      <c r="BD86" s="90">
        <f t="shared" si="117"/>
        <v>0.1302384026962371</v>
      </c>
      <c r="BE86" s="64"/>
      <c r="BF86" s="90">
        <f t="shared" si="121"/>
        <v>0.1302384026962371</v>
      </c>
      <c r="BG86" s="64"/>
      <c r="BH86" s="64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</row>
    <row r="87" spans="1:157" ht="12.75">
      <c r="A87" s="64"/>
      <c r="B87" s="64"/>
      <c r="C87" s="64"/>
      <c r="D87" s="64"/>
      <c r="E87" s="64"/>
      <c r="F87" s="64">
        <f t="shared" si="122"/>
        <v>82</v>
      </c>
      <c r="G87" s="64">
        <f t="shared" si="118"/>
        <v>3.28</v>
      </c>
      <c r="H87" s="75">
        <v>1</v>
      </c>
      <c r="I87" s="64">
        <f t="shared" si="93"/>
        <v>-12</v>
      </c>
      <c r="J87" s="64">
        <f t="shared" si="89"/>
        <v>27.078399999999995</v>
      </c>
      <c r="K87" s="64">
        <f t="shared" si="90"/>
        <v>5.973809504830232</v>
      </c>
      <c r="L87" s="64">
        <f t="shared" si="125"/>
        <v>9</v>
      </c>
      <c r="M87" s="64">
        <f t="shared" si="91"/>
        <v>3.28</v>
      </c>
      <c r="N87" s="64">
        <f t="shared" si="92"/>
        <v>1.6642657002559893</v>
      </c>
      <c r="O87" s="64">
        <f t="shared" si="94"/>
        <v>7.0685834705770345</v>
      </c>
      <c r="P87" s="64">
        <f t="shared" si="126"/>
        <v>12</v>
      </c>
      <c r="Q87" s="64">
        <f t="shared" si="127"/>
        <v>0.75</v>
      </c>
      <c r="R87" s="64">
        <f t="shared" si="95"/>
        <v>0.36119999999999974</v>
      </c>
      <c r="S87" s="93">
        <f t="shared" si="77"/>
        <v>18.679783470577036</v>
      </c>
      <c r="T87" s="94">
        <f t="shared" si="123"/>
        <v>3.28</v>
      </c>
      <c r="U87" s="95">
        <f t="shared" si="78"/>
        <v>18.679783470577036</v>
      </c>
      <c r="V87" s="64"/>
      <c r="W87" s="75">
        <f t="shared" si="119"/>
        <v>16.399999999999974</v>
      </c>
      <c r="X87" s="86">
        <f t="shared" si="120"/>
        <v>-0.003790209790209609</v>
      </c>
      <c r="Y87" s="64">
        <f t="shared" si="96"/>
        <v>1.0000591715976332</v>
      </c>
      <c r="Z87" s="64">
        <f t="shared" si="97"/>
        <v>-12.046212157073695</v>
      </c>
      <c r="AA87" s="64">
        <f t="shared" si="79"/>
        <v>36.02275562443151</v>
      </c>
      <c r="AB87" s="64">
        <f t="shared" si="80"/>
        <v>1.0058224194649128</v>
      </c>
      <c r="AC87" s="64">
        <f t="shared" si="81"/>
        <v>6.525631156248224</v>
      </c>
      <c r="AD87" s="64">
        <f t="shared" si="82"/>
        <v>0.046406952950161166</v>
      </c>
      <c r="AE87" s="64">
        <f t="shared" si="98"/>
        <v>0.17611945510103766</v>
      </c>
      <c r="AF87" s="86">
        <f t="shared" si="128"/>
        <v>0.04236363636363638</v>
      </c>
      <c r="AG87" s="64">
        <f t="shared" si="99"/>
        <v>0.7925375479546695</v>
      </c>
      <c r="AH87" s="64">
        <f t="shared" si="100"/>
        <v>0.7773129107899871</v>
      </c>
      <c r="AI87" s="87">
        <f t="shared" si="101"/>
        <v>0.015224637164682364</v>
      </c>
      <c r="AJ87" s="87">
        <f t="shared" si="129"/>
        <v>0</v>
      </c>
      <c r="AK87" s="88">
        <f t="shared" si="130"/>
        <v>260.4927272727282</v>
      </c>
      <c r="AL87" s="89">
        <f t="shared" si="131"/>
        <v>0</v>
      </c>
      <c r="AM87" s="90">
        <f t="shared" si="132"/>
        <v>254.49272727272816</v>
      </c>
      <c r="AN87" s="89">
        <f t="shared" si="102"/>
        <v>0</v>
      </c>
      <c r="AO87" s="89">
        <f t="shared" si="103"/>
        <v>0.11665404958677737</v>
      </c>
      <c r="AP87" s="91">
        <f t="shared" si="104"/>
        <v>0</v>
      </c>
      <c r="AQ87" s="89">
        <f t="shared" si="105"/>
        <v>0</v>
      </c>
      <c r="AR87" s="90">
        <f t="shared" si="133"/>
        <v>3.02926777502653</v>
      </c>
      <c r="AS87" s="89">
        <f t="shared" si="106"/>
        <v>0</v>
      </c>
      <c r="AT87" s="90">
        <f t="shared" si="107"/>
        <v>3.02926777502653</v>
      </c>
      <c r="AU87" s="89">
        <f t="shared" si="108"/>
        <v>0</v>
      </c>
      <c r="AV87" s="89">
        <f t="shared" si="109"/>
        <v>0</v>
      </c>
      <c r="AW87" s="89">
        <f t="shared" si="110"/>
        <v>0</v>
      </c>
      <c r="AX87" s="89">
        <f t="shared" si="111"/>
        <v>0</v>
      </c>
      <c r="AY87" s="89">
        <f t="shared" si="112"/>
        <v>0</v>
      </c>
      <c r="AZ87" s="90" t="b">
        <f t="shared" si="113"/>
        <v>0</v>
      </c>
      <c r="BA87" s="90" t="b">
        <f t="shared" si="114"/>
        <v>0</v>
      </c>
      <c r="BB87" s="64" t="b">
        <f t="shared" si="115"/>
        <v>0</v>
      </c>
      <c r="BC87" s="92">
        <f t="shared" si="116"/>
        <v>0</v>
      </c>
      <c r="BD87" s="90">
        <f t="shared" si="117"/>
        <v>0.13187868675145975</v>
      </c>
      <c r="BE87" s="64"/>
      <c r="BF87" s="90">
        <f t="shared" si="121"/>
        <v>0.13187868675145975</v>
      </c>
      <c r="BG87" s="64"/>
      <c r="BH87" s="64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</row>
    <row r="88" spans="1:157" ht="12.75">
      <c r="A88" s="64"/>
      <c r="B88" s="64"/>
      <c r="C88" s="64"/>
      <c r="D88" s="64"/>
      <c r="E88" s="64"/>
      <c r="F88" s="64">
        <f t="shared" si="122"/>
        <v>83</v>
      </c>
      <c r="G88" s="64">
        <f t="shared" si="118"/>
        <v>3.32</v>
      </c>
      <c r="H88" s="75">
        <v>1</v>
      </c>
      <c r="I88" s="64">
        <f t="shared" si="93"/>
        <v>-12</v>
      </c>
      <c r="J88" s="64">
        <f t="shared" si="89"/>
        <v>27.1024</v>
      </c>
      <c r="K88" s="64">
        <f t="shared" si="90"/>
        <v>5.965769020000691</v>
      </c>
      <c r="L88" s="64">
        <f t="shared" si="125"/>
        <v>9</v>
      </c>
      <c r="M88" s="64">
        <f t="shared" si="91"/>
        <v>3.32</v>
      </c>
      <c r="N88" s="64">
        <f t="shared" si="92"/>
        <v>1.6776663077656817</v>
      </c>
      <c r="O88" s="64">
        <f t="shared" si="94"/>
        <v>7.0685834705770345</v>
      </c>
      <c r="P88" s="64">
        <f t="shared" si="126"/>
        <v>12</v>
      </c>
      <c r="Q88" s="64">
        <f t="shared" si="127"/>
        <v>0.75</v>
      </c>
      <c r="R88" s="64">
        <f t="shared" si="95"/>
        <v>0.4031999999999999</v>
      </c>
      <c r="S88" s="93">
        <f t="shared" si="77"/>
        <v>18.721783470577034</v>
      </c>
      <c r="T88" s="94">
        <f t="shared" si="123"/>
        <v>3.32</v>
      </c>
      <c r="U88" s="95">
        <f t="shared" si="78"/>
        <v>18.721783470577034</v>
      </c>
      <c r="V88" s="64"/>
      <c r="W88" s="75">
        <f t="shared" si="119"/>
        <v>16.599999999999973</v>
      </c>
      <c r="X88" s="86">
        <f t="shared" si="120"/>
        <v>-0.003517482517482337</v>
      </c>
      <c r="Y88" s="64">
        <f t="shared" si="96"/>
        <v>1.0000591715976332</v>
      </c>
      <c r="Z88" s="64">
        <f t="shared" si="97"/>
        <v>-12.0462079612695</v>
      </c>
      <c r="AA88" s="64">
        <f t="shared" si="79"/>
        <v>36.02111726778815</v>
      </c>
      <c r="AB88" s="64">
        <f t="shared" si="80"/>
        <v>1.0090250080007905</v>
      </c>
      <c r="AC88" s="64">
        <f t="shared" si="81"/>
        <v>6.5272302579926595</v>
      </c>
      <c r="AD88" s="64">
        <f t="shared" si="82"/>
        <v>0.046691981005537946</v>
      </c>
      <c r="AE88" s="64">
        <f t="shared" si="98"/>
        <v>0.17666089017417885</v>
      </c>
      <c r="AF88" s="86">
        <f t="shared" si="128"/>
        <v>0.04263636363636365</v>
      </c>
      <c r="AG88" s="64">
        <f t="shared" si="99"/>
        <v>0.7949740057838048</v>
      </c>
      <c r="AH88" s="64">
        <f t="shared" si="100"/>
        <v>0.7796057964890549</v>
      </c>
      <c r="AI88" s="87">
        <f t="shared" si="101"/>
        <v>0.015368209294749913</v>
      </c>
      <c r="AJ88" s="87">
        <f t="shared" si="129"/>
        <v>0</v>
      </c>
      <c r="AK88" s="88">
        <f t="shared" si="130"/>
        <v>260.4572727272736</v>
      </c>
      <c r="AL88" s="89">
        <f t="shared" si="131"/>
        <v>0</v>
      </c>
      <c r="AM88" s="90">
        <f t="shared" si="132"/>
        <v>254.45727272727365</v>
      </c>
      <c r="AN88" s="89">
        <f t="shared" si="102"/>
        <v>0</v>
      </c>
      <c r="AO88" s="89">
        <f t="shared" si="103"/>
        <v>0.11816086776859555</v>
      </c>
      <c r="AP88" s="91">
        <f t="shared" si="104"/>
        <v>0</v>
      </c>
      <c r="AQ88" s="89">
        <f t="shared" si="105"/>
        <v>0</v>
      </c>
      <c r="AR88" s="90">
        <f t="shared" si="133"/>
        <v>3.0296816413158827</v>
      </c>
      <c r="AS88" s="89">
        <f t="shared" si="106"/>
        <v>0</v>
      </c>
      <c r="AT88" s="90">
        <f t="shared" si="107"/>
        <v>3.0296816413158827</v>
      </c>
      <c r="AU88" s="89">
        <f t="shared" si="108"/>
        <v>0</v>
      </c>
      <c r="AV88" s="89">
        <f t="shared" si="109"/>
        <v>0</v>
      </c>
      <c r="AW88" s="89">
        <f t="shared" si="110"/>
        <v>0</v>
      </c>
      <c r="AX88" s="89">
        <f t="shared" si="111"/>
        <v>0</v>
      </c>
      <c r="AY88" s="89">
        <f t="shared" si="112"/>
        <v>0</v>
      </c>
      <c r="AZ88" s="90" t="b">
        <f t="shared" si="113"/>
        <v>0</v>
      </c>
      <c r="BA88" s="90" t="b">
        <f t="shared" si="114"/>
        <v>0</v>
      </c>
      <c r="BB88" s="64" t="b">
        <f t="shared" si="115"/>
        <v>0</v>
      </c>
      <c r="BC88" s="92">
        <f t="shared" si="116"/>
        <v>0</v>
      </c>
      <c r="BD88" s="90">
        <f t="shared" si="117"/>
        <v>0.13352907706334546</v>
      </c>
      <c r="BE88" s="64"/>
      <c r="BF88" s="90">
        <f t="shared" si="121"/>
        <v>0.13352907706334546</v>
      </c>
      <c r="BG88" s="64"/>
      <c r="BH88" s="64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</row>
    <row r="89" spans="1:157" ht="12.75">
      <c r="A89" s="64"/>
      <c r="B89" s="64"/>
      <c r="C89" s="64"/>
      <c r="D89" s="64"/>
      <c r="E89" s="64"/>
      <c r="F89" s="64">
        <f t="shared" si="122"/>
        <v>84</v>
      </c>
      <c r="G89" s="64">
        <f t="shared" si="118"/>
        <v>3.36</v>
      </c>
      <c r="H89" s="75">
        <v>1</v>
      </c>
      <c r="I89" s="64">
        <f t="shared" si="93"/>
        <v>-12</v>
      </c>
      <c r="J89" s="64">
        <f t="shared" si="89"/>
        <v>27.1296</v>
      </c>
      <c r="K89" s="64">
        <f t="shared" si="90"/>
        <v>5.956643350075611</v>
      </c>
      <c r="L89" s="64">
        <f t="shared" si="125"/>
        <v>9</v>
      </c>
      <c r="M89" s="64">
        <f t="shared" si="91"/>
        <v>3.36</v>
      </c>
      <c r="N89" s="64">
        <f t="shared" si="92"/>
        <v>1.6910862091896846</v>
      </c>
      <c r="O89" s="64">
        <f t="shared" si="94"/>
        <v>7.0685834705770345</v>
      </c>
      <c r="P89" s="64">
        <f t="shared" si="126"/>
        <v>12</v>
      </c>
      <c r="Q89" s="64">
        <f t="shared" si="127"/>
        <v>0.75</v>
      </c>
      <c r="R89" s="64">
        <f t="shared" si="95"/>
        <v>0.44279999999999986</v>
      </c>
      <c r="S89" s="93">
        <f t="shared" si="77"/>
        <v>18.761383470577034</v>
      </c>
      <c r="T89" s="94">
        <f t="shared" si="123"/>
        <v>3.36</v>
      </c>
      <c r="U89" s="95">
        <f t="shared" si="78"/>
        <v>18.761383470577034</v>
      </c>
      <c r="V89" s="64"/>
      <c r="W89" s="75">
        <f t="shared" si="119"/>
        <v>16.799999999999972</v>
      </c>
      <c r="X89" s="86">
        <f t="shared" si="120"/>
        <v>-0.0032447552447550654</v>
      </c>
      <c r="Y89" s="64">
        <f t="shared" si="96"/>
        <v>1.0000591715976332</v>
      </c>
      <c r="Z89" s="64">
        <f t="shared" si="97"/>
        <v>-12.046203765465304</v>
      </c>
      <c r="AA89" s="64">
        <f t="shared" si="79"/>
        <v>36.01947905990513</v>
      </c>
      <c r="AB89" s="64">
        <f t="shared" si="80"/>
        <v>1.0122171698812312</v>
      </c>
      <c r="AC89" s="64">
        <f t="shared" si="81"/>
        <v>6.528824146717839</v>
      </c>
      <c r="AD89" s="64">
        <f t="shared" si="82"/>
        <v>0.04697696896076659</v>
      </c>
      <c r="AE89" s="64">
        <f t="shared" si="98"/>
        <v>0.1772006122700096</v>
      </c>
      <c r="AF89" s="86">
        <f t="shared" si="128"/>
        <v>0.042909090909090924</v>
      </c>
      <c r="AG89" s="64">
        <f t="shared" si="99"/>
        <v>0.7974027552150432</v>
      </c>
      <c r="AH89" s="64">
        <f t="shared" si="100"/>
        <v>0.7818905383835394</v>
      </c>
      <c r="AI89" s="87">
        <f t="shared" si="101"/>
        <v>0.015512216831503833</v>
      </c>
      <c r="AJ89" s="87">
        <f t="shared" si="129"/>
        <v>0</v>
      </c>
      <c r="AK89" s="88">
        <f t="shared" si="130"/>
        <v>260.4218181818191</v>
      </c>
      <c r="AL89" s="89">
        <f t="shared" si="131"/>
        <v>0</v>
      </c>
      <c r="AM89" s="90">
        <f t="shared" si="132"/>
        <v>254.42181818181908</v>
      </c>
      <c r="AN89" s="89">
        <f t="shared" si="102"/>
        <v>0</v>
      </c>
      <c r="AO89" s="89">
        <f t="shared" si="103"/>
        <v>0.11967735537190133</v>
      </c>
      <c r="AP89" s="91">
        <f t="shared" si="104"/>
        <v>0</v>
      </c>
      <c r="AQ89" s="89">
        <f t="shared" si="105"/>
        <v>0</v>
      </c>
      <c r="AR89" s="90">
        <f t="shared" si="133"/>
        <v>3.0300955076052354</v>
      </c>
      <c r="AS89" s="89">
        <f t="shared" si="106"/>
        <v>0</v>
      </c>
      <c r="AT89" s="90">
        <f t="shared" si="107"/>
        <v>3.030095507605236</v>
      </c>
      <c r="AU89" s="89">
        <f t="shared" si="108"/>
        <v>0</v>
      </c>
      <c r="AV89" s="89">
        <f t="shared" si="109"/>
        <v>0</v>
      </c>
      <c r="AW89" s="89">
        <f t="shared" si="110"/>
        <v>0</v>
      </c>
      <c r="AX89" s="89">
        <f t="shared" si="111"/>
        <v>0</v>
      </c>
      <c r="AY89" s="89">
        <f t="shared" si="112"/>
        <v>0</v>
      </c>
      <c r="AZ89" s="90" t="b">
        <f t="shared" si="113"/>
        <v>0</v>
      </c>
      <c r="BA89" s="90" t="b">
        <f t="shared" si="114"/>
        <v>0</v>
      </c>
      <c r="BB89" s="64" t="b">
        <f t="shared" si="115"/>
        <v>0</v>
      </c>
      <c r="BC89" s="92">
        <f t="shared" si="116"/>
        <v>0</v>
      </c>
      <c r="BD89" s="90">
        <f t="shared" si="117"/>
        <v>0.13518957220340516</v>
      </c>
      <c r="BE89" s="64"/>
      <c r="BF89" s="90">
        <f t="shared" si="121"/>
        <v>0.13518957220340516</v>
      </c>
      <c r="BG89" s="64"/>
      <c r="BH89" s="64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</row>
    <row r="90" spans="1:157" ht="12.75">
      <c r="A90" s="64"/>
      <c r="B90" s="64"/>
      <c r="C90" s="64"/>
      <c r="D90" s="64"/>
      <c r="E90" s="64"/>
      <c r="F90" s="64">
        <f t="shared" si="122"/>
        <v>85</v>
      </c>
      <c r="G90" s="64">
        <f t="shared" si="118"/>
        <v>3.4</v>
      </c>
      <c r="H90" s="75">
        <v>1</v>
      </c>
      <c r="I90" s="64">
        <f t="shared" si="93"/>
        <v>-12</v>
      </c>
      <c r="J90" s="64">
        <f t="shared" si="89"/>
        <v>27.160000000000004</v>
      </c>
      <c r="K90" s="64">
        <f t="shared" si="90"/>
        <v>5.946427498927401</v>
      </c>
      <c r="L90" s="64">
        <f t="shared" si="125"/>
        <v>9</v>
      </c>
      <c r="M90" s="64">
        <f t="shared" si="91"/>
        <v>3.4</v>
      </c>
      <c r="N90" s="64">
        <f t="shared" si="92"/>
        <v>1.7045279162048381</v>
      </c>
      <c r="O90" s="64">
        <f t="shared" si="94"/>
        <v>7.0685834705770345</v>
      </c>
      <c r="P90" s="64">
        <f t="shared" si="126"/>
        <v>12</v>
      </c>
      <c r="Q90" s="64">
        <f t="shared" si="127"/>
        <v>0.75</v>
      </c>
      <c r="R90" s="64">
        <f t="shared" si="95"/>
        <v>0.48</v>
      </c>
      <c r="S90" s="93">
        <f t="shared" si="77"/>
        <v>18.798583470577036</v>
      </c>
      <c r="T90" s="94">
        <f t="shared" si="123"/>
        <v>3.4</v>
      </c>
      <c r="U90" s="95">
        <f t="shared" si="78"/>
        <v>18.798583470577036</v>
      </c>
      <c r="V90" s="64"/>
      <c r="W90" s="75">
        <f t="shared" si="119"/>
        <v>16.99999999999997</v>
      </c>
      <c r="X90" s="86">
        <f t="shared" si="120"/>
        <v>-0.0029720279720277937</v>
      </c>
      <c r="Y90" s="64">
        <f t="shared" si="96"/>
        <v>1.0000591715976332</v>
      </c>
      <c r="Z90" s="64">
        <f t="shared" si="97"/>
        <v>-12.046199569661107</v>
      </c>
      <c r="AA90" s="64">
        <f t="shared" si="79"/>
        <v>36.01784100078243</v>
      </c>
      <c r="AB90" s="64">
        <f t="shared" si="80"/>
        <v>1.0153990034427143</v>
      </c>
      <c r="AC90" s="64">
        <f t="shared" si="81"/>
        <v>6.530412871589094</v>
      </c>
      <c r="AD90" s="64">
        <f t="shared" si="82"/>
        <v>0.047261917194041984</v>
      </c>
      <c r="AE90" s="64">
        <f t="shared" si="98"/>
        <v>0.17773863770053455</v>
      </c>
      <c r="AF90" s="86">
        <f t="shared" si="128"/>
        <v>0.043181818181818196</v>
      </c>
      <c r="AG90" s="64">
        <f t="shared" si="99"/>
        <v>0.7998238696524055</v>
      </c>
      <c r="AH90" s="64">
        <f t="shared" si="100"/>
        <v>0.7841672112925134</v>
      </c>
      <c r="AI90" s="87">
        <f t="shared" si="101"/>
        <v>0.01565665835989205</v>
      </c>
      <c r="AJ90" s="87">
        <f t="shared" si="129"/>
        <v>0</v>
      </c>
      <c r="AK90" s="88">
        <f t="shared" si="130"/>
        <v>260.3863636363646</v>
      </c>
      <c r="AL90" s="89">
        <f t="shared" si="131"/>
        <v>0</v>
      </c>
      <c r="AM90" s="90">
        <f t="shared" si="132"/>
        <v>254.38636363636454</v>
      </c>
      <c r="AN90" s="89">
        <f t="shared" si="102"/>
        <v>0</v>
      </c>
      <c r="AO90" s="89">
        <f t="shared" si="103"/>
        <v>0.12120351239669473</v>
      </c>
      <c r="AP90" s="91">
        <f t="shared" si="104"/>
        <v>0</v>
      </c>
      <c r="AQ90" s="89">
        <f t="shared" si="105"/>
        <v>0</v>
      </c>
      <c r="AR90" s="90">
        <f t="shared" si="133"/>
        <v>3.030509373894588</v>
      </c>
      <c r="AS90" s="89">
        <f t="shared" si="106"/>
        <v>0</v>
      </c>
      <c r="AT90" s="90">
        <f t="shared" si="107"/>
        <v>3.030509373894588</v>
      </c>
      <c r="AU90" s="89">
        <f t="shared" si="108"/>
        <v>0</v>
      </c>
      <c r="AV90" s="89">
        <f t="shared" si="109"/>
        <v>0</v>
      </c>
      <c r="AW90" s="89">
        <f t="shared" si="110"/>
        <v>0</v>
      </c>
      <c r="AX90" s="89">
        <f t="shared" si="111"/>
        <v>0</v>
      </c>
      <c r="AY90" s="89">
        <f t="shared" si="112"/>
        <v>0</v>
      </c>
      <c r="AZ90" s="90" t="b">
        <f t="shared" si="113"/>
        <v>0</v>
      </c>
      <c r="BA90" s="90" t="b">
        <f t="shared" si="114"/>
        <v>0</v>
      </c>
      <c r="BB90" s="64" t="b">
        <f t="shared" si="115"/>
        <v>0</v>
      </c>
      <c r="BC90" s="92">
        <f t="shared" si="116"/>
        <v>0</v>
      </c>
      <c r="BD90" s="90">
        <f t="shared" si="117"/>
        <v>0.1368601707565868</v>
      </c>
      <c r="BE90" s="64"/>
      <c r="BF90" s="90">
        <f t="shared" si="121"/>
        <v>0.1368601707565868</v>
      </c>
      <c r="BG90" s="64"/>
      <c r="BH90" s="64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</row>
    <row r="91" spans="1:157" ht="12.75">
      <c r="A91" s="64"/>
      <c r="B91" s="64"/>
      <c r="C91" s="64"/>
      <c r="D91" s="64"/>
      <c r="E91" s="64"/>
      <c r="F91" s="64">
        <f t="shared" si="122"/>
        <v>86</v>
      </c>
      <c r="G91" s="64">
        <f t="shared" si="118"/>
        <v>3.44</v>
      </c>
      <c r="H91" s="75">
        <v>1</v>
      </c>
      <c r="I91" s="64">
        <f t="shared" si="93"/>
        <v>-12</v>
      </c>
      <c r="J91" s="64">
        <f t="shared" si="89"/>
        <v>27.193599999999996</v>
      </c>
      <c r="K91" s="64">
        <f t="shared" si="90"/>
        <v>5.935115837117252</v>
      </c>
      <c r="L91" s="64">
        <f t="shared" si="125"/>
        <v>9</v>
      </c>
      <c r="M91" s="64">
        <f t="shared" si="91"/>
        <v>3.44</v>
      </c>
      <c r="N91" s="64">
        <f t="shared" si="92"/>
        <v>1.7179939767720835</v>
      </c>
      <c r="O91" s="64">
        <f t="shared" si="94"/>
        <v>7.0685834705770345</v>
      </c>
      <c r="P91" s="64">
        <f t="shared" si="126"/>
        <v>12</v>
      </c>
      <c r="Q91" s="64">
        <f t="shared" si="127"/>
        <v>0.75</v>
      </c>
      <c r="R91" s="64">
        <f t="shared" si="95"/>
        <v>0.5147999999999999</v>
      </c>
      <c r="S91" s="93">
        <f t="shared" si="77"/>
        <v>18.833383470577036</v>
      </c>
      <c r="T91" s="94">
        <f t="shared" si="123"/>
        <v>3.44</v>
      </c>
      <c r="U91" s="95">
        <f t="shared" si="78"/>
        <v>18.833383470577036</v>
      </c>
      <c r="V91" s="64"/>
      <c r="W91" s="75">
        <f t="shared" si="119"/>
        <v>17.19999999999997</v>
      </c>
      <c r="X91" s="86">
        <f t="shared" si="120"/>
        <v>-0.002699300699300522</v>
      </c>
      <c r="Y91" s="64">
        <f t="shared" si="96"/>
        <v>1.0000591715976332</v>
      </c>
      <c r="Z91" s="64">
        <f t="shared" si="97"/>
        <v>-12.046195373856913</v>
      </c>
      <c r="AA91" s="64">
        <f t="shared" si="79"/>
        <v>36.01620309042007</v>
      </c>
      <c r="AB91" s="64">
        <f t="shared" si="80"/>
        <v>1.0185706054767296</v>
      </c>
      <c r="AC91" s="64">
        <f t="shared" si="81"/>
        <v>6.531996480999306</v>
      </c>
      <c r="AD91" s="64">
        <f t="shared" si="82"/>
        <v>0.04754682607761704</v>
      </c>
      <c r="AE91" s="64">
        <f t="shared" si="98"/>
        <v>0.17827498252101548</v>
      </c>
      <c r="AF91" s="86">
        <f t="shared" si="128"/>
        <v>0.04345454545454547</v>
      </c>
      <c r="AG91" s="64">
        <f t="shared" si="99"/>
        <v>0.8022374213445697</v>
      </c>
      <c r="AH91" s="64">
        <f t="shared" si="100"/>
        <v>0.7864358888663371</v>
      </c>
      <c r="AI91" s="87">
        <f t="shared" si="101"/>
        <v>0.01580153247823257</v>
      </c>
      <c r="AJ91" s="87">
        <f t="shared" si="129"/>
        <v>0</v>
      </c>
      <c r="AK91" s="88">
        <f t="shared" si="130"/>
        <v>260.35090909090997</v>
      </c>
      <c r="AL91" s="89">
        <f t="shared" si="131"/>
        <v>0</v>
      </c>
      <c r="AM91" s="90">
        <f t="shared" si="132"/>
        <v>254.35090909091</v>
      </c>
      <c r="AN91" s="89">
        <f t="shared" si="102"/>
        <v>0</v>
      </c>
      <c r="AO91" s="89">
        <f t="shared" si="103"/>
        <v>0.12273933884297572</v>
      </c>
      <c r="AP91" s="91">
        <f t="shared" si="104"/>
        <v>0</v>
      </c>
      <c r="AQ91" s="89">
        <f t="shared" si="105"/>
        <v>0</v>
      </c>
      <c r="AR91" s="90">
        <f t="shared" si="133"/>
        <v>3.030923240183941</v>
      </c>
      <c r="AS91" s="89">
        <f t="shared" si="106"/>
        <v>0</v>
      </c>
      <c r="AT91" s="90">
        <f t="shared" si="107"/>
        <v>3.0309232401839408</v>
      </c>
      <c r="AU91" s="89">
        <f t="shared" si="108"/>
        <v>0</v>
      </c>
      <c r="AV91" s="89">
        <f t="shared" si="109"/>
        <v>0</v>
      </c>
      <c r="AW91" s="89">
        <f t="shared" si="110"/>
        <v>0</v>
      </c>
      <c r="AX91" s="89">
        <f t="shared" si="111"/>
        <v>0</v>
      </c>
      <c r="AY91" s="89">
        <f t="shared" si="112"/>
        <v>0</v>
      </c>
      <c r="AZ91" s="90" t="b">
        <f t="shared" si="113"/>
        <v>0</v>
      </c>
      <c r="BA91" s="90" t="b">
        <f t="shared" si="114"/>
        <v>0</v>
      </c>
      <c r="BB91" s="64" t="b">
        <f t="shared" si="115"/>
        <v>0</v>
      </c>
      <c r="BC91" s="92">
        <f t="shared" si="116"/>
        <v>0</v>
      </c>
      <c r="BD91" s="90">
        <f t="shared" si="117"/>
        <v>0.1385408713212083</v>
      </c>
      <c r="BE91" s="64"/>
      <c r="BF91" s="90">
        <f t="shared" si="121"/>
        <v>0.1385408713212083</v>
      </c>
      <c r="BG91" s="64"/>
      <c r="BH91" s="64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</row>
    <row r="92" spans="1:157" ht="12.75">
      <c r="A92" s="64"/>
      <c r="B92" s="64"/>
      <c r="C92" s="64"/>
      <c r="D92" s="64"/>
      <c r="E92" s="64"/>
      <c r="F92" s="64">
        <f t="shared" si="122"/>
        <v>87</v>
      </c>
      <c r="G92" s="64">
        <f t="shared" si="118"/>
        <v>3.48</v>
      </c>
      <c r="H92" s="75">
        <v>1</v>
      </c>
      <c r="I92" s="64">
        <f t="shared" si="93"/>
        <v>-12</v>
      </c>
      <c r="J92" s="64">
        <f t="shared" si="89"/>
        <v>27.2304</v>
      </c>
      <c r="K92" s="64">
        <f t="shared" si="90"/>
        <v>5.922702086041472</v>
      </c>
      <c r="L92" s="64">
        <f t="shared" si="125"/>
        <v>9</v>
      </c>
      <c r="M92" s="64">
        <f t="shared" si="91"/>
        <v>3.48</v>
      </c>
      <c r="N92" s="64">
        <f t="shared" si="92"/>
        <v>1.731486979746807</v>
      </c>
      <c r="O92" s="64">
        <f t="shared" si="94"/>
        <v>7.0685834705770345</v>
      </c>
      <c r="P92" s="64">
        <f t="shared" si="126"/>
        <v>12</v>
      </c>
      <c r="Q92" s="64">
        <f t="shared" si="127"/>
        <v>0.75</v>
      </c>
      <c r="R92" s="64">
        <f t="shared" si="95"/>
        <v>0.5472</v>
      </c>
      <c r="S92" s="93">
        <f t="shared" si="77"/>
        <v>18.865783470577036</v>
      </c>
      <c r="T92" s="94">
        <f t="shared" si="123"/>
        <v>3.48</v>
      </c>
      <c r="U92" s="95">
        <f t="shared" si="78"/>
        <v>18.865783470577036</v>
      </c>
      <c r="V92" s="64"/>
      <c r="W92" s="75">
        <f t="shared" si="119"/>
        <v>17.39999999999997</v>
      </c>
      <c r="X92" s="86">
        <f t="shared" si="120"/>
        <v>-0.002426573426573247</v>
      </c>
      <c r="Y92" s="64">
        <f t="shared" si="96"/>
        <v>1.0000591715976332</v>
      </c>
      <c r="Z92" s="64">
        <f t="shared" si="97"/>
        <v>-12.046191178052716</v>
      </c>
      <c r="AA92" s="64">
        <f t="shared" si="79"/>
        <v>36.01456532881803</v>
      </c>
      <c r="AB92" s="64">
        <f t="shared" si="80"/>
        <v>1.021732071263642</v>
      </c>
      <c r="AC92" s="64">
        <f t="shared" si="81"/>
        <v>6.533575022585836</v>
      </c>
      <c r="AD92" s="64">
        <f t="shared" si="82"/>
        <v>0.047831695977933006</v>
      </c>
      <c r="AE92" s="64">
        <f t="shared" si="98"/>
        <v>0.17880966253558195</v>
      </c>
      <c r="AF92" s="86">
        <f t="shared" si="128"/>
        <v>0.04372727272727274</v>
      </c>
      <c r="AG92" s="64">
        <f t="shared" si="99"/>
        <v>0.8046434814101188</v>
      </c>
      <c r="AH92" s="64">
        <f t="shared" si="100"/>
        <v>0.7886966436122185</v>
      </c>
      <c r="AI92" s="87">
        <f t="shared" si="101"/>
        <v>0.015946837797900293</v>
      </c>
      <c r="AJ92" s="87">
        <f t="shared" si="129"/>
        <v>0</v>
      </c>
      <c r="AK92" s="88">
        <f t="shared" si="130"/>
        <v>260.31545454545545</v>
      </c>
      <c r="AL92" s="89">
        <f t="shared" si="131"/>
        <v>0</v>
      </c>
      <c r="AM92" s="90">
        <f t="shared" si="132"/>
        <v>254.31545454545542</v>
      </c>
      <c r="AN92" s="89">
        <f t="shared" si="102"/>
        <v>0</v>
      </c>
      <c r="AO92" s="89">
        <f t="shared" si="103"/>
        <v>0.12428483471074431</v>
      </c>
      <c r="AP92" s="91">
        <f t="shared" si="104"/>
        <v>0</v>
      </c>
      <c r="AQ92" s="89">
        <f t="shared" si="105"/>
        <v>0</v>
      </c>
      <c r="AR92" s="90">
        <f t="shared" si="133"/>
        <v>3.031337106473294</v>
      </c>
      <c r="AS92" s="89">
        <f t="shared" si="106"/>
        <v>0</v>
      </c>
      <c r="AT92" s="90">
        <f t="shared" si="107"/>
        <v>3.031337106473294</v>
      </c>
      <c r="AU92" s="89">
        <f t="shared" si="108"/>
        <v>0</v>
      </c>
      <c r="AV92" s="89">
        <f t="shared" si="109"/>
        <v>0</v>
      </c>
      <c r="AW92" s="89">
        <f t="shared" si="110"/>
        <v>0</v>
      </c>
      <c r="AX92" s="89">
        <f t="shared" si="111"/>
        <v>0</v>
      </c>
      <c r="AY92" s="89">
        <f t="shared" si="112"/>
        <v>0</v>
      </c>
      <c r="AZ92" s="90" t="b">
        <f t="shared" si="113"/>
        <v>0</v>
      </c>
      <c r="BA92" s="90" t="b">
        <f t="shared" si="114"/>
        <v>0</v>
      </c>
      <c r="BB92" s="64" t="b">
        <f t="shared" si="115"/>
        <v>0</v>
      </c>
      <c r="BC92" s="92">
        <f t="shared" si="116"/>
        <v>0</v>
      </c>
      <c r="BD92" s="90">
        <f t="shared" si="117"/>
        <v>0.1402316725086446</v>
      </c>
      <c r="BE92" s="64"/>
      <c r="BF92" s="90">
        <f t="shared" si="121"/>
        <v>0.1402316725086446</v>
      </c>
      <c r="BG92" s="64"/>
      <c r="BH92" s="64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</row>
    <row r="93" spans="1:157" ht="12.75">
      <c r="A93" s="64"/>
      <c r="B93" s="64"/>
      <c r="C93" s="64"/>
      <c r="D93" s="64"/>
      <c r="E93" s="64"/>
      <c r="F93" s="64">
        <f t="shared" si="122"/>
        <v>88</v>
      </c>
      <c r="G93" s="64">
        <f t="shared" si="118"/>
        <v>3.52</v>
      </c>
      <c r="H93" s="75">
        <v>1</v>
      </c>
      <c r="I93" s="64">
        <f t="shared" si="93"/>
        <v>-12</v>
      </c>
      <c r="J93" s="64">
        <f t="shared" si="89"/>
        <v>27.2704</v>
      </c>
      <c r="K93" s="64">
        <f t="shared" si="90"/>
        <v>5.909179300038205</v>
      </c>
      <c r="L93" s="64">
        <f t="shared" si="125"/>
        <v>9</v>
      </c>
      <c r="M93" s="64">
        <f t="shared" si="91"/>
        <v>3.52</v>
      </c>
      <c r="N93" s="64">
        <f t="shared" si="92"/>
        <v>1.7450095596845365</v>
      </c>
      <c r="O93" s="64">
        <f t="shared" si="94"/>
        <v>7.0685834705770345</v>
      </c>
      <c r="P93" s="64">
        <f t="shared" si="126"/>
        <v>12</v>
      </c>
      <c r="Q93" s="64">
        <f t="shared" si="127"/>
        <v>0.75</v>
      </c>
      <c r="R93" s="64">
        <f t="shared" si="95"/>
        <v>0.5771999999999999</v>
      </c>
      <c r="S93" s="93">
        <f t="shared" si="77"/>
        <v>18.895783470577037</v>
      </c>
      <c r="T93" s="94">
        <f t="shared" si="123"/>
        <v>3.52</v>
      </c>
      <c r="U93" s="95">
        <f t="shared" si="78"/>
        <v>18.895783470577037</v>
      </c>
      <c r="V93" s="64"/>
      <c r="W93" s="75">
        <f t="shared" si="119"/>
        <v>17.59999999999997</v>
      </c>
      <c r="X93" s="86">
        <f t="shared" si="120"/>
        <v>-0.002153846153845975</v>
      </c>
      <c r="Y93" s="64">
        <f t="shared" si="96"/>
        <v>1.0000591715976332</v>
      </c>
      <c r="Z93" s="64">
        <f t="shared" si="97"/>
        <v>-12.046186982248521</v>
      </c>
      <c r="AA93" s="64">
        <f t="shared" si="79"/>
        <v>36.012927715976325</v>
      </c>
      <c r="AB93" s="64">
        <f t="shared" si="80"/>
        <v>1.0248834946055134</v>
      </c>
      <c r="AC93" s="64">
        <f t="shared" si="81"/>
        <v>6.535148543246943</v>
      </c>
      <c r="AD93" s="64">
        <f t="shared" si="82"/>
        <v>0.04811652725574571</v>
      </c>
      <c r="AE93" s="64">
        <f t="shared" si="98"/>
        <v>0.17934269330270403</v>
      </c>
      <c r="AF93" s="86">
        <f t="shared" si="128"/>
        <v>0.04400000000000001</v>
      </c>
      <c r="AG93" s="64">
        <f t="shared" si="99"/>
        <v>0.8070421198621681</v>
      </c>
      <c r="AH93" s="64">
        <f t="shared" si="100"/>
        <v>0.7909495469189817</v>
      </c>
      <c r="AI93" s="87">
        <f t="shared" si="101"/>
        <v>0.016092572943186445</v>
      </c>
      <c r="AJ93" s="87">
        <f t="shared" si="129"/>
        <v>0</v>
      </c>
      <c r="AK93" s="88">
        <f t="shared" si="130"/>
        <v>260.2800000000009</v>
      </c>
      <c r="AL93" s="89">
        <f t="shared" si="131"/>
        <v>0</v>
      </c>
      <c r="AM93" s="90">
        <f t="shared" si="132"/>
        <v>254.2800000000009</v>
      </c>
      <c r="AN93" s="89">
        <f t="shared" si="102"/>
        <v>0</v>
      </c>
      <c r="AO93" s="89">
        <f t="shared" si="103"/>
        <v>0.1258400000000005</v>
      </c>
      <c r="AP93" s="91">
        <f t="shared" si="104"/>
        <v>0</v>
      </c>
      <c r="AQ93" s="89">
        <f t="shared" si="105"/>
        <v>0</v>
      </c>
      <c r="AR93" s="90">
        <f t="shared" si="133"/>
        <v>3.031750972762646</v>
      </c>
      <c r="AS93" s="89">
        <f t="shared" si="106"/>
        <v>0</v>
      </c>
      <c r="AT93" s="90">
        <f t="shared" si="107"/>
        <v>3.031750972762646</v>
      </c>
      <c r="AU93" s="89">
        <f t="shared" si="108"/>
        <v>0</v>
      </c>
      <c r="AV93" s="89">
        <f t="shared" si="109"/>
        <v>0</v>
      </c>
      <c r="AW93" s="89">
        <f t="shared" si="110"/>
        <v>0</v>
      </c>
      <c r="AX93" s="89">
        <f t="shared" si="111"/>
        <v>0</v>
      </c>
      <c r="AY93" s="89">
        <f t="shared" si="112"/>
        <v>0</v>
      </c>
      <c r="AZ93" s="90" t="b">
        <f t="shared" si="113"/>
        <v>0</v>
      </c>
      <c r="BA93" s="90" t="b">
        <f t="shared" si="114"/>
        <v>0</v>
      </c>
      <c r="BB93" s="64" t="b">
        <f t="shared" si="115"/>
        <v>0</v>
      </c>
      <c r="BC93" s="92">
        <f t="shared" si="116"/>
        <v>0</v>
      </c>
      <c r="BD93" s="90">
        <f t="shared" si="117"/>
        <v>0.14193257294318695</v>
      </c>
      <c r="BE93" s="64"/>
      <c r="BF93" s="90">
        <f t="shared" si="121"/>
        <v>0.14193257294318695</v>
      </c>
      <c r="BG93" s="64"/>
      <c r="BH93" s="64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</row>
    <row r="94" spans="1:157" ht="12.75">
      <c r="A94" s="64"/>
      <c r="B94" s="64"/>
      <c r="C94" s="64"/>
      <c r="D94" s="64"/>
      <c r="E94" s="64"/>
      <c r="F94" s="64">
        <f t="shared" si="122"/>
        <v>89</v>
      </c>
      <c r="G94" s="64">
        <f t="shared" si="118"/>
        <v>3.56</v>
      </c>
      <c r="H94" s="75">
        <v>1</v>
      </c>
      <c r="I94" s="64">
        <f t="shared" si="93"/>
        <v>-12</v>
      </c>
      <c r="J94" s="64">
        <f t="shared" si="89"/>
        <v>27.3136</v>
      </c>
      <c r="K94" s="64">
        <f t="shared" si="90"/>
        <v>5.894539846332366</v>
      </c>
      <c r="L94" s="64">
        <f t="shared" si="125"/>
        <v>9</v>
      </c>
      <c r="M94" s="64">
        <f t="shared" si="91"/>
        <v>3.56</v>
      </c>
      <c r="N94" s="64">
        <f t="shared" si="92"/>
        <v>1.758564401868189</v>
      </c>
      <c r="O94" s="64">
        <f t="shared" si="94"/>
        <v>7.0685834705770345</v>
      </c>
      <c r="P94" s="64">
        <f t="shared" si="126"/>
        <v>12</v>
      </c>
      <c r="Q94" s="64">
        <f t="shared" si="127"/>
        <v>0.75</v>
      </c>
      <c r="R94" s="64">
        <f t="shared" si="95"/>
        <v>0.6048000000000001</v>
      </c>
      <c r="S94" s="93">
        <f t="shared" si="77"/>
        <v>18.923383470577036</v>
      </c>
      <c r="T94" s="94">
        <f t="shared" si="123"/>
        <v>3.56</v>
      </c>
      <c r="U94" s="95">
        <f t="shared" si="78"/>
        <v>18.923383470577036</v>
      </c>
      <c r="V94" s="64"/>
      <c r="W94" s="75">
        <f t="shared" si="119"/>
        <v>17.79999999999997</v>
      </c>
      <c r="X94" s="86">
        <f t="shared" si="120"/>
        <v>-0.0018811188811187034</v>
      </c>
      <c r="Y94" s="64">
        <f t="shared" si="96"/>
        <v>1.0000591715976332</v>
      </c>
      <c r="Z94" s="64">
        <f t="shared" si="97"/>
        <v>-12.046182786444325</v>
      </c>
      <c r="AA94" s="64">
        <f t="shared" si="79"/>
        <v>36.01129025189496</v>
      </c>
      <c r="AB94" s="64">
        <f t="shared" si="80"/>
        <v>1.028024967858042</v>
      </c>
      <c r="AC94" s="64">
        <f t="shared" si="81"/>
        <v>6.536717089157742</v>
      </c>
      <c r="AD94" s="64">
        <f t="shared" si="82"/>
        <v>0.04840132026624837</v>
      </c>
      <c r="AE94" s="64">
        <f t="shared" si="98"/>
        <v>0.17987409014050004</v>
      </c>
      <c r="AF94" s="86">
        <f t="shared" si="128"/>
        <v>0.04427272727272728</v>
      </c>
      <c r="AG94" s="64">
        <f t="shared" si="99"/>
        <v>0.8094334056322502</v>
      </c>
      <c r="AH94" s="64">
        <f t="shared" si="100"/>
        <v>0.7931946690811665</v>
      </c>
      <c r="AI94" s="87">
        <f t="shared" si="101"/>
        <v>0.016238736551083655</v>
      </c>
      <c r="AJ94" s="87">
        <f t="shared" si="129"/>
        <v>0</v>
      </c>
      <c r="AK94" s="88">
        <f t="shared" si="130"/>
        <v>260.24454545454637</v>
      </c>
      <c r="AL94" s="89">
        <f t="shared" si="131"/>
        <v>0</v>
      </c>
      <c r="AM94" s="90">
        <f t="shared" si="132"/>
        <v>254.24454545454637</v>
      </c>
      <c r="AN94" s="89">
        <f t="shared" si="102"/>
        <v>0</v>
      </c>
      <c r="AO94" s="89">
        <f t="shared" si="103"/>
        <v>0.12740483471074432</v>
      </c>
      <c r="AP94" s="91">
        <f t="shared" si="104"/>
        <v>0</v>
      </c>
      <c r="AQ94" s="89">
        <f t="shared" si="105"/>
        <v>0</v>
      </c>
      <c r="AR94" s="90">
        <f t="shared" si="133"/>
        <v>3.032164839051999</v>
      </c>
      <c r="AS94" s="89">
        <f t="shared" si="106"/>
        <v>0</v>
      </c>
      <c r="AT94" s="90">
        <f t="shared" si="107"/>
        <v>3.032164839051999</v>
      </c>
      <c r="AU94" s="89">
        <f t="shared" si="108"/>
        <v>0</v>
      </c>
      <c r="AV94" s="89">
        <f t="shared" si="109"/>
        <v>0</v>
      </c>
      <c r="AW94" s="89">
        <f t="shared" si="110"/>
        <v>0</v>
      </c>
      <c r="AX94" s="89">
        <f t="shared" si="111"/>
        <v>0</v>
      </c>
      <c r="AY94" s="89">
        <f t="shared" si="112"/>
        <v>0</v>
      </c>
      <c r="AZ94" s="90" t="b">
        <f t="shared" si="113"/>
        <v>0</v>
      </c>
      <c r="BA94" s="90" t="b">
        <f t="shared" si="114"/>
        <v>0</v>
      </c>
      <c r="BB94" s="64" t="b">
        <f t="shared" si="115"/>
        <v>0</v>
      </c>
      <c r="BC94" s="92">
        <f t="shared" si="116"/>
        <v>0</v>
      </c>
      <c r="BD94" s="90">
        <f t="shared" si="117"/>
        <v>0.14364357126182797</v>
      </c>
      <c r="BE94" s="64"/>
      <c r="BF94" s="90">
        <f t="shared" si="121"/>
        <v>0.14364357126182797</v>
      </c>
      <c r="BG94" s="64"/>
      <c r="BH94" s="64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</row>
    <row r="95" spans="1:157" ht="12.75">
      <c r="A95" s="64"/>
      <c r="B95" s="64"/>
      <c r="C95" s="64"/>
      <c r="D95" s="64"/>
      <c r="E95" s="64"/>
      <c r="F95" s="64">
        <f aca="true" t="shared" si="134" ref="F95:F105">F94+1</f>
        <v>90</v>
      </c>
      <c r="G95" s="64">
        <f t="shared" si="118"/>
        <v>3.6</v>
      </c>
      <c r="H95" s="75">
        <v>1</v>
      </c>
      <c r="I95" s="64">
        <f t="shared" si="93"/>
        <v>-12</v>
      </c>
      <c r="J95" s="64">
        <f t="shared" si="89"/>
        <v>27.36</v>
      </c>
      <c r="K95" s="64">
        <f t="shared" si="90"/>
        <v>5.878775382679628</v>
      </c>
      <c r="L95" s="64">
        <f t="shared" si="125"/>
        <v>9</v>
      </c>
      <c r="M95" s="64">
        <f t="shared" si="91"/>
        <v>3.6</v>
      </c>
      <c r="N95" s="64">
        <f t="shared" si="92"/>
        <v>1.7721542475852274</v>
      </c>
      <c r="O95" s="64">
        <f t="shared" si="94"/>
        <v>7.0685834705770345</v>
      </c>
      <c r="P95" s="64">
        <f t="shared" si="126"/>
        <v>12</v>
      </c>
      <c r="Q95" s="64">
        <f t="shared" si="127"/>
        <v>0.75</v>
      </c>
      <c r="R95" s="64">
        <f t="shared" si="95"/>
        <v>0.63</v>
      </c>
      <c r="S95" s="93">
        <f t="shared" si="77"/>
        <v>18.948583470577034</v>
      </c>
      <c r="T95" s="94">
        <f t="shared" si="123"/>
        <v>3.6</v>
      </c>
      <c r="U95" s="95">
        <f t="shared" si="78"/>
        <v>18.948583470577034</v>
      </c>
      <c r="V95" s="64"/>
      <c r="W95" s="75">
        <f t="shared" si="119"/>
        <v>17.999999999999968</v>
      </c>
      <c r="X95" s="86">
        <f t="shared" si="120"/>
        <v>-0.0016083916083914317</v>
      </c>
      <c r="Y95" s="64">
        <f t="shared" si="96"/>
        <v>1.0000591715976332</v>
      </c>
      <c r="Z95" s="64">
        <f t="shared" si="97"/>
        <v>-12.046178590640128</v>
      </c>
      <c r="AA95" s="64">
        <f t="shared" si="79"/>
        <v>36.009652936573914</v>
      </c>
      <c r="AB95" s="64">
        <f t="shared" si="80"/>
        <v>1.0311565819617396</v>
      </c>
      <c r="AC95" s="64">
        <f t="shared" si="81"/>
        <v>6.538280705785798</v>
      </c>
      <c r="AD95" s="64">
        <f t="shared" si="82"/>
        <v>0.04868607535919145</v>
      </c>
      <c r="AE95" s="64">
        <f t="shared" si="98"/>
        <v>0.1804038681319009</v>
      </c>
      <c r="AF95" s="86">
        <f t="shared" si="128"/>
        <v>0.044545454545454555</v>
      </c>
      <c r="AG95" s="64">
        <f t="shared" si="99"/>
        <v>0.8118174065935541</v>
      </c>
      <c r="AH95" s="64">
        <f t="shared" si="100"/>
        <v>0.795432079322559</v>
      </c>
      <c r="AI95" s="87">
        <f t="shared" si="101"/>
        <v>0.016385327270995065</v>
      </c>
      <c r="AJ95" s="87">
        <f t="shared" si="129"/>
        <v>0</v>
      </c>
      <c r="AK95" s="88">
        <f t="shared" si="130"/>
        <v>260.2090909090918</v>
      </c>
      <c r="AL95" s="89">
        <f t="shared" si="131"/>
        <v>0</v>
      </c>
      <c r="AM95" s="90">
        <f t="shared" si="132"/>
        <v>254.20909090909183</v>
      </c>
      <c r="AN95" s="89">
        <f t="shared" si="102"/>
        <v>0</v>
      </c>
      <c r="AO95" s="89">
        <f t="shared" si="103"/>
        <v>0.12897933884297572</v>
      </c>
      <c r="AP95" s="91">
        <f t="shared" si="104"/>
        <v>0</v>
      </c>
      <c r="AQ95" s="89">
        <f t="shared" si="105"/>
        <v>0</v>
      </c>
      <c r="AR95" s="90">
        <f t="shared" si="133"/>
        <v>3.0325787053413515</v>
      </c>
      <c r="AS95" s="89">
        <f t="shared" si="106"/>
        <v>0</v>
      </c>
      <c r="AT95" s="90">
        <f t="shared" si="107"/>
        <v>3.0325787053413515</v>
      </c>
      <c r="AU95" s="89">
        <f t="shared" si="108"/>
        <v>0</v>
      </c>
      <c r="AV95" s="89">
        <f t="shared" si="109"/>
        <v>0</v>
      </c>
      <c r="AW95" s="89">
        <f t="shared" si="110"/>
        <v>0</v>
      </c>
      <c r="AX95" s="89">
        <f t="shared" si="111"/>
        <v>0</v>
      </c>
      <c r="AY95" s="89">
        <f t="shared" si="112"/>
        <v>0</v>
      </c>
      <c r="AZ95" s="90" t="b">
        <f t="shared" si="113"/>
        <v>0</v>
      </c>
      <c r="BA95" s="90" t="b">
        <f t="shared" si="114"/>
        <v>0</v>
      </c>
      <c r="BB95" s="64" t="b">
        <f t="shared" si="115"/>
        <v>0</v>
      </c>
      <c r="BC95" s="92">
        <f t="shared" si="116"/>
        <v>0</v>
      </c>
      <c r="BD95" s="90">
        <f t="shared" si="117"/>
        <v>0.14536466611397078</v>
      </c>
      <c r="BE95" s="64"/>
      <c r="BF95" s="90">
        <f t="shared" si="121"/>
        <v>0.14536466611397078</v>
      </c>
      <c r="BG95" s="64"/>
      <c r="BH95" s="64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</row>
    <row r="96" spans="1:157" ht="12.75">
      <c r="A96" s="64"/>
      <c r="B96" s="64"/>
      <c r="C96" s="64"/>
      <c r="D96" s="64"/>
      <c r="E96" s="64"/>
      <c r="F96" s="64">
        <f t="shared" si="134"/>
        <v>91</v>
      </c>
      <c r="G96" s="64">
        <f t="shared" si="118"/>
        <v>3.64</v>
      </c>
      <c r="H96" s="75">
        <v>1</v>
      </c>
      <c r="I96" s="64">
        <f t="shared" si="93"/>
        <v>-12</v>
      </c>
      <c r="J96" s="64">
        <f t="shared" si="89"/>
        <v>27.4096</v>
      </c>
      <c r="K96" s="64">
        <f t="shared" si="90"/>
        <v>5.861876832551158</v>
      </c>
      <c r="L96" s="64">
        <f t="shared" si="125"/>
        <v>9</v>
      </c>
      <c r="M96" s="64">
        <f t="shared" si="91"/>
        <v>3.64</v>
      </c>
      <c r="N96" s="64">
        <f t="shared" si="92"/>
        <v>1.7857818996855725</v>
      </c>
      <c r="O96" s="64">
        <f t="shared" si="94"/>
        <v>7.0685834705770345</v>
      </c>
      <c r="P96" s="64">
        <f t="shared" si="126"/>
        <v>12</v>
      </c>
      <c r="Q96" s="64">
        <f t="shared" si="127"/>
        <v>0.75</v>
      </c>
      <c r="R96" s="64">
        <f t="shared" si="95"/>
        <v>0.6528000000000002</v>
      </c>
      <c r="S96" s="93">
        <f t="shared" si="77"/>
        <v>18.971383470577035</v>
      </c>
      <c r="T96" s="94">
        <f t="shared" si="123"/>
        <v>3.64</v>
      </c>
      <c r="U96" s="95">
        <f t="shared" si="78"/>
        <v>18.971383470577035</v>
      </c>
      <c r="V96" s="64"/>
      <c r="W96" s="75">
        <f t="shared" si="119"/>
        <v>18.199999999999967</v>
      </c>
      <c r="X96" s="86">
        <f t="shared" si="120"/>
        <v>-0.00133566433566416</v>
      </c>
      <c r="Y96" s="64">
        <f t="shared" si="96"/>
        <v>1.0000591715976332</v>
      </c>
      <c r="Z96" s="64">
        <f t="shared" si="97"/>
        <v>-12.046174394835933</v>
      </c>
      <c r="AA96" s="64">
        <f t="shared" si="79"/>
        <v>36.0080157700132</v>
      </c>
      <c r="AB96" s="64">
        <f t="shared" si="80"/>
        <v>1.034278426471902</v>
      </c>
      <c r="AC96" s="64">
        <f t="shared" si="81"/>
        <v>6.539839437906112</v>
      </c>
      <c r="AD96" s="64">
        <f t="shared" si="82"/>
        <v>0.04897079287899807</v>
      </c>
      <c r="AE96" s="64">
        <f t="shared" si="98"/>
        <v>0.1809320421296765</v>
      </c>
      <c r="AF96" s="86">
        <f t="shared" si="128"/>
        <v>0.044818181818181826</v>
      </c>
      <c r="AG96" s="64">
        <f t="shared" si="99"/>
        <v>0.8141941895835443</v>
      </c>
      <c r="AH96" s="64">
        <f t="shared" si="100"/>
        <v>0.7976618458188175</v>
      </c>
      <c r="AI96" s="87">
        <f t="shared" si="101"/>
        <v>0.016532343764726787</v>
      </c>
      <c r="AJ96" s="87">
        <f t="shared" si="129"/>
        <v>0</v>
      </c>
      <c r="AK96" s="88">
        <f t="shared" si="130"/>
        <v>260.1736363636373</v>
      </c>
      <c r="AL96" s="89">
        <f t="shared" si="131"/>
        <v>0</v>
      </c>
      <c r="AM96" s="90">
        <f t="shared" si="132"/>
        <v>254.17363636363726</v>
      </c>
      <c r="AN96" s="89">
        <f t="shared" si="102"/>
        <v>0</v>
      </c>
      <c r="AO96" s="89">
        <f t="shared" si="103"/>
        <v>0.13056351239669473</v>
      </c>
      <c r="AP96" s="91">
        <f t="shared" si="104"/>
        <v>0</v>
      </c>
      <c r="AQ96" s="89">
        <f t="shared" si="105"/>
        <v>0</v>
      </c>
      <c r="AR96" s="90">
        <f t="shared" si="133"/>
        <v>3.032992571630704</v>
      </c>
      <c r="AS96" s="89">
        <f t="shared" si="106"/>
        <v>0</v>
      </c>
      <c r="AT96" s="90">
        <f t="shared" si="107"/>
        <v>3.0329925716307042</v>
      </c>
      <c r="AU96" s="89">
        <f t="shared" si="108"/>
        <v>0</v>
      </c>
      <c r="AV96" s="89">
        <f t="shared" si="109"/>
        <v>0</v>
      </c>
      <c r="AW96" s="89">
        <f t="shared" si="110"/>
        <v>0</v>
      </c>
      <c r="AX96" s="89">
        <f t="shared" si="111"/>
        <v>0</v>
      </c>
      <c r="AY96" s="89">
        <f t="shared" si="112"/>
        <v>0</v>
      </c>
      <c r="AZ96" s="90" t="b">
        <f t="shared" si="113"/>
        <v>0</v>
      </c>
      <c r="BA96" s="90" t="b">
        <f t="shared" si="114"/>
        <v>0</v>
      </c>
      <c r="BB96" s="64" t="b">
        <f t="shared" si="115"/>
        <v>0</v>
      </c>
      <c r="BC96" s="92">
        <f t="shared" si="116"/>
        <v>0</v>
      </c>
      <c r="BD96" s="90">
        <f t="shared" si="117"/>
        <v>0.1470958561614215</v>
      </c>
      <c r="BE96" s="64"/>
      <c r="BF96" s="90">
        <f t="shared" si="121"/>
        <v>0.1470958561614215</v>
      </c>
      <c r="BG96" s="64"/>
      <c r="BH96" s="64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</row>
    <row r="97" spans="1:157" ht="12.75">
      <c r="A97" s="64"/>
      <c r="B97" s="64"/>
      <c r="C97" s="64"/>
      <c r="D97" s="64"/>
      <c r="E97" s="64"/>
      <c r="F97" s="64">
        <f t="shared" si="134"/>
        <v>92</v>
      </c>
      <c r="G97" s="64">
        <f t="shared" si="118"/>
        <v>3.68</v>
      </c>
      <c r="H97" s="75">
        <v>1</v>
      </c>
      <c r="I97" s="64">
        <f t="shared" si="93"/>
        <v>-12</v>
      </c>
      <c r="J97" s="64">
        <f t="shared" si="89"/>
        <v>27.4624</v>
      </c>
      <c r="K97" s="64">
        <f t="shared" si="90"/>
        <v>5.843834357679897</v>
      </c>
      <c r="L97" s="64">
        <f t="shared" si="125"/>
        <v>9</v>
      </c>
      <c r="M97" s="64">
        <f t="shared" si="91"/>
        <v>3.68</v>
      </c>
      <c r="N97" s="64">
        <f t="shared" si="92"/>
        <v>1.799450228453979</v>
      </c>
      <c r="O97" s="64">
        <f t="shared" si="94"/>
        <v>7.0685834705770345</v>
      </c>
      <c r="P97" s="64">
        <f t="shared" si="126"/>
        <v>12</v>
      </c>
      <c r="Q97" s="64">
        <f t="shared" si="127"/>
        <v>0.75</v>
      </c>
      <c r="R97" s="64">
        <f t="shared" si="95"/>
        <v>0.6732000000000001</v>
      </c>
      <c r="S97" s="93">
        <f t="shared" si="77"/>
        <v>18.991783470577037</v>
      </c>
      <c r="T97" s="94">
        <f t="shared" si="123"/>
        <v>3.68</v>
      </c>
      <c r="U97" s="95">
        <f t="shared" si="78"/>
        <v>18.991783470577037</v>
      </c>
      <c r="V97" s="64"/>
      <c r="W97" s="75">
        <f t="shared" si="119"/>
        <v>18.399999999999967</v>
      </c>
      <c r="X97" s="86">
        <f t="shared" si="120"/>
        <v>-0.0010629370629368848</v>
      </c>
      <c r="Y97" s="64">
        <f t="shared" si="96"/>
        <v>1.0000591715976332</v>
      </c>
      <c r="Z97" s="64">
        <f t="shared" si="97"/>
        <v>-12.046170199031737</v>
      </c>
      <c r="AA97" s="64">
        <f t="shared" si="79"/>
        <v>36.00637875221282</v>
      </c>
      <c r="AB97" s="64">
        <f t="shared" si="80"/>
        <v>1.037390589588139</v>
      </c>
      <c r="AC97" s="64">
        <f t="shared" si="81"/>
        <v>6.541393329615877</v>
      </c>
      <c r="AD97" s="64">
        <f t="shared" si="82"/>
        <v>0.04925547316487738</v>
      </c>
      <c r="AE97" s="64">
        <f t="shared" si="98"/>
        <v>0.18145862676131608</v>
      </c>
      <c r="AF97" s="86">
        <f t="shared" si="128"/>
        <v>0.045090909090909105</v>
      </c>
      <c r="AG97" s="64">
        <f t="shared" si="99"/>
        <v>0.8165638204259223</v>
      </c>
      <c r="AH97" s="64">
        <f t="shared" si="100"/>
        <v>0.7998840357197484</v>
      </c>
      <c r="AI97" s="87">
        <f t="shared" si="101"/>
        <v>0.016679784706173928</v>
      </c>
      <c r="AJ97" s="87">
        <f t="shared" si="129"/>
        <v>0</v>
      </c>
      <c r="AK97" s="88">
        <f t="shared" si="130"/>
        <v>260.1381818181827</v>
      </c>
      <c r="AL97" s="89">
        <f t="shared" si="131"/>
        <v>0</v>
      </c>
      <c r="AM97" s="90">
        <f t="shared" si="132"/>
        <v>254.13818181818272</v>
      </c>
      <c r="AN97" s="89">
        <f t="shared" si="102"/>
        <v>0</v>
      </c>
      <c r="AO97" s="89">
        <f t="shared" si="103"/>
        <v>0.13215735537190137</v>
      </c>
      <c r="AP97" s="91">
        <f t="shared" si="104"/>
        <v>0</v>
      </c>
      <c r="AQ97" s="89">
        <f t="shared" si="105"/>
        <v>0</v>
      </c>
      <c r="AR97" s="90">
        <f t="shared" si="133"/>
        <v>3.0334064379200574</v>
      </c>
      <c r="AS97" s="89">
        <f t="shared" si="106"/>
        <v>0</v>
      </c>
      <c r="AT97" s="90">
        <f t="shared" si="107"/>
        <v>3.033406437920057</v>
      </c>
      <c r="AU97" s="89">
        <f t="shared" si="108"/>
        <v>0</v>
      </c>
      <c r="AV97" s="89">
        <f t="shared" si="109"/>
        <v>0</v>
      </c>
      <c r="AW97" s="89">
        <f t="shared" si="110"/>
        <v>0</v>
      </c>
      <c r="AX97" s="89">
        <f t="shared" si="111"/>
        <v>0</v>
      </c>
      <c r="AY97" s="89">
        <f t="shared" si="112"/>
        <v>0</v>
      </c>
      <c r="AZ97" s="90" t="b">
        <f t="shared" si="113"/>
        <v>0</v>
      </c>
      <c r="BA97" s="90" t="b">
        <f t="shared" si="114"/>
        <v>0</v>
      </c>
      <c r="BB97" s="64" t="b">
        <f t="shared" si="115"/>
        <v>0</v>
      </c>
      <c r="BC97" s="92">
        <f t="shared" si="116"/>
        <v>0</v>
      </c>
      <c r="BD97" s="90">
        <f t="shared" si="117"/>
        <v>0.1488371400780753</v>
      </c>
      <c r="BE97" s="64"/>
      <c r="BF97" s="90">
        <f t="shared" si="121"/>
        <v>0.1488371400780753</v>
      </c>
      <c r="BG97" s="64"/>
      <c r="BH97" s="64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</row>
    <row r="98" spans="1:157" ht="12.75">
      <c r="A98" s="64"/>
      <c r="B98" s="64"/>
      <c r="C98" s="64"/>
      <c r="D98" s="64"/>
      <c r="E98" s="64"/>
      <c r="F98" s="64">
        <f t="shared" si="134"/>
        <v>93</v>
      </c>
      <c r="G98" s="64">
        <f t="shared" si="118"/>
        <v>3.72</v>
      </c>
      <c r="H98" s="75">
        <v>1</v>
      </c>
      <c r="I98" s="64">
        <f t="shared" si="93"/>
        <v>-12</v>
      </c>
      <c r="J98" s="64">
        <f t="shared" si="89"/>
        <v>27.5184</v>
      </c>
      <c r="K98" s="64">
        <f t="shared" si="90"/>
        <v>5.824637327765567</v>
      </c>
      <c r="L98" s="64">
        <f t="shared" si="125"/>
        <v>9</v>
      </c>
      <c r="M98" s="64">
        <f t="shared" si="91"/>
        <v>3.72</v>
      </c>
      <c r="N98" s="64">
        <f t="shared" si="92"/>
        <v>1.8131621778338598</v>
      </c>
      <c r="O98" s="64">
        <f t="shared" si="94"/>
        <v>7.0685834705770345</v>
      </c>
      <c r="P98" s="64">
        <f t="shared" si="126"/>
        <v>12</v>
      </c>
      <c r="Q98" s="64">
        <f t="shared" si="127"/>
        <v>0.75</v>
      </c>
      <c r="R98" s="64">
        <f t="shared" si="95"/>
        <v>0.6912</v>
      </c>
      <c r="S98" s="93">
        <f t="shared" si="77"/>
        <v>19.009783470577034</v>
      </c>
      <c r="T98" s="94">
        <f t="shared" si="123"/>
        <v>3.72</v>
      </c>
      <c r="U98" s="95">
        <f t="shared" si="78"/>
        <v>19.009783470577034</v>
      </c>
      <c r="V98" s="64"/>
      <c r="W98" s="75">
        <f t="shared" si="119"/>
        <v>18.599999999999966</v>
      </c>
      <c r="X98" s="86">
        <f t="shared" si="120"/>
        <v>-0.0007902097902096131</v>
      </c>
      <c r="Y98" s="64">
        <f t="shared" si="96"/>
        <v>1.0000591715976332</v>
      </c>
      <c r="Z98" s="64">
        <f t="shared" si="97"/>
        <v>-12.046166003227542</v>
      </c>
      <c r="AA98" s="64">
        <f t="shared" si="79"/>
        <v>36.00474188317277</v>
      </c>
      <c r="AB98" s="64">
        <f t="shared" si="80"/>
        <v>1.0404931581829582</v>
      </c>
      <c r="AC98" s="64">
        <f t="shared" si="81"/>
        <v>6.542942424348779</v>
      </c>
      <c r="AD98" s="64">
        <f t="shared" si="82"/>
        <v>0.04954011655093466</v>
      </c>
      <c r="AE98" s="64">
        <f t="shared" si="98"/>
        <v>0.18198363643378745</v>
      </c>
      <c r="AF98" s="86">
        <f t="shared" si="128"/>
        <v>0.04536363636363638</v>
      </c>
      <c r="AG98" s="64">
        <f t="shared" si="99"/>
        <v>0.8189263639520435</v>
      </c>
      <c r="AH98" s="64">
        <f t="shared" si="100"/>
        <v>0.8020987151708943</v>
      </c>
      <c r="AI98" s="87">
        <f t="shared" si="101"/>
        <v>0.016827648781149285</v>
      </c>
      <c r="AJ98" s="87">
        <f t="shared" si="129"/>
        <v>0</v>
      </c>
      <c r="AK98" s="88">
        <f t="shared" si="130"/>
        <v>260.10272727272815</v>
      </c>
      <c r="AL98" s="89">
        <f t="shared" si="131"/>
        <v>0</v>
      </c>
      <c r="AM98" s="90">
        <f t="shared" si="132"/>
        <v>254.10272727272817</v>
      </c>
      <c r="AN98" s="89">
        <f t="shared" si="102"/>
        <v>0</v>
      </c>
      <c r="AO98" s="89">
        <f t="shared" si="103"/>
        <v>0.13376086776859558</v>
      </c>
      <c r="AP98" s="91">
        <f t="shared" si="104"/>
        <v>0</v>
      </c>
      <c r="AQ98" s="89">
        <f t="shared" si="105"/>
        <v>0</v>
      </c>
      <c r="AR98" s="90">
        <f t="shared" si="133"/>
        <v>3.0338203042094096</v>
      </c>
      <c r="AS98" s="89">
        <f t="shared" si="106"/>
        <v>0</v>
      </c>
      <c r="AT98" s="90">
        <f t="shared" si="107"/>
        <v>3.0338203042094096</v>
      </c>
      <c r="AU98" s="89">
        <f t="shared" si="108"/>
        <v>0</v>
      </c>
      <c r="AV98" s="89">
        <f t="shared" si="109"/>
        <v>0</v>
      </c>
      <c r="AW98" s="89">
        <f t="shared" si="110"/>
        <v>0</v>
      </c>
      <c r="AX98" s="89">
        <f t="shared" si="111"/>
        <v>0</v>
      </c>
      <c r="AY98" s="89">
        <f t="shared" si="112"/>
        <v>0</v>
      </c>
      <c r="AZ98" s="90" t="b">
        <f t="shared" si="113"/>
        <v>0</v>
      </c>
      <c r="BA98" s="90" t="b">
        <f t="shared" si="114"/>
        <v>0</v>
      </c>
      <c r="BB98" s="64" t="b">
        <f t="shared" si="115"/>
        <v>0</v>
      </c>
      <c r="BC98" s="92">
        <f t="shared" si="116"/>
        <v>0</v>
      </c>
      <c r="BD98" s="90">
        <f t="shared" si="117"/>
        <v>0.15058851654974487</v>
      </c>
      <c r="BE98" s="64"/>
      <c r="BF98" s="90">
        <f t="shared" si="121"/>
        <v>0.15058851654974487</v>
      </c>
      <c r="BG98" s="64"/>
      <c r="BH98" s="64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</row>
    <row r="99" spans="1:157" ht="12.75">
      <c r="A99" s="64"/>
      <c r="B99" s="64"/>
      <c r="C99" s="64"/>
      <c r="D99" s="64"/>
      <c r="E99" s="64"/>
      <c r="F99" s="64">
        <f t="shared" si="134"/>
        <v>94</v>
      </c>
      <c r="G99" s="64">
        <f t="shared" si="118"/>
        <v>3.76</v>
      </c>
      <c r="H99" s="75">
        <v>1</v>
      </c>
      <c r="I99" s="64">
        <f t="shared" si="93"/>
        <v>-12</v>
      </c>
      <c r="J99" s="64">
        <f t="shared" si="89"/>
        <v>27.5776</v>
      </c>
      <c r="K99" s="64">
        <f t="shared" si="90"/>
        <v>5.8042742871094575</v>
      </c>
      <c r="L99" s="64">
        <f t="shared" si="125"/>
        <v>9</v>
      </c>
      <c r="M99" s="64">
        <f t="shared" si="91"/>
        <v>3.76</v>
      </c>
      <c r="N99" s="64">
        <f t="shared" si="92"/>
        <v>1.8269207720432996</v>
      </c>
      <c r="O99" s="64">
        <f t="shared" si="94"/>
        <v>7.0685834705770345</v>
      </c>
      <c r="P99" s="64">
        <f t="shared" si="126"/>
        <v>12</v>
      </c>
      <c r="Q99" s="64">
        <f t="shared" si="127"/>
        <v>0.75</v>
      </c>
      <c r="R99" s="64">
        <f t="shared" si="95"/>
        <v>0.7067999999999999</v>
      </c>
      <c r="S99" s="93">
        <f t="shared" si="77"/>
        <v>19.025383470577037</v>
      </c>
      <c r="T99" s="94">
        <f t="shared" si="123"/>
        <v>3.76</v>
      </c>
      <c r="U99" s="95">
        <f t="shared" si="78"/>
        <v>19.025383470577037</v>
      </c>
      <c r="V99" s="64"/>
      <c r="W99" s="75">
        <f t="shared" si="119"/>
        <v>18.799999999999965</v>
      </c>
      <c r="X99" s="86">
        <f t="shared" si="120"/>
        <v>-0.0005174825174823414</v>
      </c>
      <c r="Y99" s="64">
        <f t="shared" si="96"/>
        <v>1.0000591715976332</v>
      </c>
      <c r="Z99" s="64">
        <f t="shared" si="97"/>
        <v>-12.046161807423346</v>
      </c>
      <c r="AA99" s="64">
        <f t="shared" si="79"/>
        <v>36.00310516289305</v>
      </c>
      <c r="AB99" s="64">
        <f t="shared" si="80"/>
        <v>1.0435862178295068</v>
      </c>
      <c r="AC99" s="64">
        <f t="shared" si="81"/>
        <v>6.544486764888858</v>
      </c>
      <c r="AD99" s="64">
        <f t="shared" si="82"/>
        <v>0.049824723366277926</v>
      </c>
      <c r="AE99" s="64">
        <f t="shared" si="98"/>
        <v>0.1825070853381605</v>
      </c>
      <c r="AF99" s="86">
        <f t="shared" si="128"/>
        <v>0.04563636363636365</v>
      </c>
      <c r="AG99" s="64">
        <f t="shared" si="99"/>
        <v>0.8212818840217223</v>
      </c>
      <c r="AH99" s="64">
        <f t="shared" si="100"/>
        <v>0.8043059493344595</v>
      </c>
      <c r="AI99" s="87">
        <f t="shared" si="101"/>
        <v>0.016975934687262773</v>
      </c>
      <c r="AJ99" s="87">
        <f t="shared" si="129"/>
        <v>0</v>
      </c>
      <c r="AK99" s="88">
        <f t="shared" si="130"/>
        <v>260.06727272727363</v>
      </c>
      <c r="AL99" s="89">
        <f t="shared" si="131"/>
        <v>0</v>
      </c>
      <c r="AM99" s="90">
        <f t="shared" si="132"/>
        <v>254.06727272727363</v>
      </c>
      <c r="AN99" s="89">
        <f t="shared" si="102"/>
        <v>0</v>
      </c>
      <c r="AO99" s="89">
        <f t="shared" si="103"/>
        <v>0.1353740495867774</v>
      </c>
      <c r="AP99" s="91">
        <f t="shared" si="104"/>
        <v>0</v>
      </c>
      <c r="AQ99" s="89">
        <f t="shared" si="105"/>
        <v>0</v>
      </c>
      <c r="AR99" s="90">
        <f t="shared" si="133"/>
        <v>3.0342341704987623</v>
      </c>
      <c r="AS99" s="89">
        <f t="shared" si="106"/>
        <v>0</v>
      </c>
      <c r="AT99" s="90">
        <f t="shared" si="107"/>
        <v>3.0342341704987623</v>
      </c>
      <c r="AU99" s="89">
        <f t="shared" si="108"/>
        <v>0</v>
      </c>
      <c r="AV99" s="89">
        <f t="shared" si="109"/>
        <v>0</v>
      </c>
      <c r="AW99" s="89">
        <f t="shared" si="110"/>
        <v>0</v>
      </c>
      <c r="AX99" s="89">
        <f t="shared" si="111"/>
        <v>0</v>
      </c>
      <c r="AY99" s="89">
        <f t="shared" si="112"/>
        <v>0</v>
      </c>
      <c r="AZ99" s="90" t="b">
        <f t="shared" si="113"/>
        <v>0</v>
      </c>
      <c r="BA99" s="90" t="b">
        <f t="shared" si="114"/>
        <v>0</v>
      </c>
      <c r="BB99" s="64" t="b">
        <f t="shared" si="115"/>
        <v>0</v>
      </c>
      <c r="BC99" s="92">
        <f t="shared" si="116"/>
        <v>0</v>
      </c>
      <c r="BD99" s="90">
        <f t="shared" si="117"/>
        <v>0.15234998427404017</v>
      </c>
      <c r="BE99" s="64"/>
      <c r="BF99" s="90">
        <f t="shared" si="121"/>
        <v>0.15234998427404017</v>
      </c>
      <c r="BG99" s="64"/>
      <c r="BH99" s="64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</row>
    <row r="100" spans="1:157" ht="12.75">
      <c r="A100" s="64"/>
      <c r="B100" s="64"/>
      <c r="C100" s="64"/>
      <c r="D100" s="64"/>
      <c r="E100" s="64"/>
      <c r="F100" s="64">
        <f t="shared" si="134"/>
        <v>95</v>
      </c>
      <c r="G100" s="64">
        <f t="shared" si="118"/>
        <v>3.8</v>
      </c>
      <c r="H100" s="75">
        <v>1</v>
      </c>
      <c r="I100" s="64">
        <f t="shared" si="93"/>
        <v>-12</v>
      </c>
      <c r="J100" s="64">
        <f t="shared" si="89"/>
        <v>27.64</v>
      </c>
      <c r="K100" s="64">
        <f t="shared" si="90"/>
        <v>5.782732917920384</v>
      </c>
      <c r="L100" s="64">
        <f t="shared" si="125"/>
        <v>9</v>
      </c>
      <c r="M100" s="64">
        <f t="shared" si="91"/>
        <v>3.8</v>
      </c>
      <c r="N100" s="64">
        <f t="shared" si="92"/>
        <v>1.8407291226283</v>
      </c>
      <c r="O100" s="64">
        <f t="shared" si="94"/>
        <v>7.0685834705770345</v>
      </c>
      <c r="P100" s="64">
        <f t="shared" si="126"/>
        <v>12</v>
      </c>
      <c r="Q100" s="64">
        <f t="shared" si="127"/>
        <v>0.75</v>
      </c>
      <c r="R100" s="64">
        <f t="shared" si="95"/>
        <v>0.72</v>
      </c>
      <c r="S100" s="93">
        <f t="shared" si="77"/>
        <v>19.038583470577034</v>
      </c>
      <c r="T100" s="94">
        <f t="shared" si="123"/>
        <v>3.8</v>
      </c>
      <c r="U100" s="95">
        <f t="shared" si="78"/>
        <v>19.038583470577034</v>
      </c>
      <c r="V100" s="64"/>
      <c r="W100" s="75">
        <f t="shared" si="119"/>
        <v>18.999999999999964</v>
      </c>
      <c r="X100" s="86">
        <f t="shared" si="120"/>
        <v>-0.00024475524475506966</v>
      </c>
      <c r="Y100" s="64">
        <f t="shared" si="96"/>
        <v>1.0000591715976332</v>
      </c>
      <c r="Z100" s="64">
        <f t="shared" si="97"/>
        <v>-12.046157611619149</v>
      </c>
      <c r="AA100" s="64">
        <f t="shared" si="79"/>
        <v>36.001468591373666</v>
      </c>
      <c r="AB100" s="64">
        <f t="shared" si="80"/>
        <v>1.0466698528287366</v>
      </c>
      <c r="AC100" s="64">
        <f t="shared" si="81"/>
        <v>6.546026393384097</v>
      </c>
      <c r="AD100" s="64">
        <f t="shared" si="82"/>
        <v>0.05010929393512242</v>
      </c>
      <c r="AE100" s="64">
        <f t="shared" si="98"/>
        <v>0.18302898745410667</v>
      </c>
      <c r="AF100" s="86">
        <f t="shared" si="128"/>
        <v>0.04590909090909092</v>
      </c>
      <c r="AG100" s="64">
        <f t="shared" si="99"/>
        <v>0.82363044354348</v>
      </c>
      <c r="AH100" s="64">
        <f t="shared" si="100"/>
        <v>0.806505802409829</v>
      </c>
      <c r="AI100" s="87">
        <f t="shared" si="101"/>
        <v>0.017124641133650975</v>
      </c>
      <c r="AJ100" s="87">
        <f t="shared" si="129"/>
        <v>0</v>
      </c>
      <c r="AK100" s="88">
        <f t="shared" si="130"/>
        <v>260.03181818181906</v>
      </c>
      <c r="AL100" s="89">
        <f t="shared" si="131"/>
        <v>0</v>
      </c>
      <c r="AM100" s="90">
        <f t="shared" si="132"/>
        <v>254.0318181818191</v>
      </c>
      <c r="AN100" s="89">
        <f t="shared" si="102"/>
        <v>0</v>
      </c>
      <c r="AO100" s="89">
        <f t="shared" si="103"/>
        <v>0.13699690082644686</v>
      </c>
      <c r="AP100" s="91">
        <f t="shared" si="104"/>
        <v>0</v>
      </c>
      <c r="AQ100" s="89">
        <f t="shared" si="105"/>
        <v>0</v>
      </c>
      <c r="AR100" s="90">
        <f t="shared" si="133"/>
        <v>3.034648036788115</v>
      </c>
      <c r="AS100" s="89">
        <f t="shared" si="106"/>
        <v>0</v>
      </c>
      <c r="AT100" s="90">
        <f t="shared" si="107"/>
        <v>3.034648036788115</v>
      </c>
      <c r="AU100" s="89">
        <f t="shared" si="108"/>
        <v>0</v>
      </c>
      <c r="AV100" s="89">
        <f t="shared" si="109"/>
        <v>0</v>
      </c>
      <c r="AW100" s="89">
        <f t="shared" si="110"/>
        <v>0</v>
      </c>
      <c r="AX100" s="89">
        <f t="shared" si="111"/>
        <v>0</v>
      </c>
      <c r="AY100" s="89">
        <f t="shared" si="112"/>
        <v>0</v>
      </c>
      <c r="AZ100" s="90" t="b">
        <f t="shared" si="113"/>
        <v>0</v>
      </c>
      <c r="BA100" s="90" t="b">
        <f t="shared" si="114"/>
        <v>0</v>
      </c>
      <c r="BB100" s="64" t="b">
        <f t="shared" si="115"/>
        <v>0</v>
      </c>
      <c r="BC100" s="92">
        <f t="shared" si="116"/>
        <v>0</v>
      </c>
      <c r="BD100" s="90">
        <f t="shared" si="117"/>
        <v>0.15412154196009784</v>
      </c>
      <c r="BE100" s="64"/>
      <c r="BF100" s="90">
        <f t="shared" si="121"/>
        <v>0.15412154196009784</v>
      </c>
      <c r="BG100" s="64"/>
      <c r="BH100" s="64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</row>
    <row r="101" spans="1:157" ht="12.75">
      <c r="A101" s="64"/>
      <c r="B101" s="64"/>
      <c r="C101" s="64"/>
      <c r="D101" s="64"/>
      <c r="E101" s="64"/>
      <c r="F101" s="64">
        <f t="shared" si="134"/>
        <v>96</v>
      </c>
      <c r="G101" s="64">
        <f t="shared" si="118"/>
        <v>3.84</v>
      </c>
      <c r="H101" s="75">
        <v>1</v>
      </c>
      <c r="I101" s="64">
        <f t="shared" si="93"/>
        <v>-12</v>
      </c>
      <c r="J101" s="64">
        <f t="shared" si="89"/>
        <v>27.705599999999997</v>
      </c>
      <c r="K101" s="64">
        <f t="shared" si="90"/>
        <v>5.760000000000001</v>
      </c>
      <c r="L101" s="64">
        <f t="shared" si="125"/>
        <v>9</v>
      </c>
      <c r="M101" s="64">
        <f t="shared" si="91"/>
        <v>3.84</v>
      </c>
      <c r="N101" s="64">
        <f t="shared" si="92"/>
        <v>1.8545904360032244</v>
      </c>
      <c r="O101" s="64">
        <f aca="true" t="shared" si="135" ref="O101:O106">IF(G101&lt;=R,R^2/2*N101-(R-G101)^2*TAN(N101)/2,N$2)</f>
        <v>7.0685834705770345</v>
      </c>
      <c r="P101" s="64">
        <f t="shared" si="126"/>
        <v>12</v>
      </c>
      <c r="Q101" s="64">
        <f t="shared" si="127"/>
        <v>0.75</v>
      </c>
      <c r="R101" s="64">
        <f t="shared" si="95"/>
        <v>0.7308</v>
      </c>
      <c r="S101" s="93">
        <f t="shared" si="77"/>
        <v>19.049383470577034</v>
      </c>
      <c r="T101" s="94">
        <f t="shared" si="123"/>
        <v>3.84</v>
      </c>
      <c r="U101" s="95">
        <f t="shared" si="78"/>
        <v>19.049383470577034</v>
      </c>
      <c r="V101" s="64"/>
      <c r="W101" s="75">
        <f t="shared" si="119"/>
        <v>19.199999999999964</v>
      </c>
      <c r="X101" s="86">
        <f t="shared" si="120"/>
        <v>2.797202797220205E-05</v>
      </c>
      <c r="Y101" s="64">
        <f t="shared" si="96"/>
        <v>1.0000591715976332</v>
      </c>
      <c r="Z101" s="64">
        <f t="shared" si="97"/>
        <v>-12.046153415814954</v>
      </c>
      <c r="AA101" s="64">
        <f t="shared" si="79"/>
        <v>35.9998321686146</v>
      </c>
      <c r="AB101" s="64">
        <f t="shared" si="80"/>
        <v>1.0497441462356942</v>
      </c>
      <c r="AC101" s="64">
        <f t="shared" si="81"/>
        <v>6.547561351359563</v>
      </c>
      <c r="AD101" s="64">
        <f t="shared" si="82"/>
        <v>0.05039382857689174</v>
      </c>
      <c r="AE101" s="64">
        <f>IF(AND(AD101&gt;0,AD101&lt;=R),ACOS((R-AD101)/R),PI()/2)</f>
        <v>0.18354935655428406</v>
      </c>
      <c r="AF101" s="86">
        <f t="shared" si="128"/>
        <v>0.04618181818181819</v>
      </c>
      <c r="AG101" s="64">
        <f t="shared" si="99"/>
        <v>0.8259721044942783</v>
      </c>
      <c r="AH101" s="64">
        <f t="shared" si="100"/>
        <v>0.8086983376534052</v>
      </c>
      <c r="AI101" s="87">
        <f>IF(AND(AD101&gt;0,AF101&gt;=0),AG101-AH101,IF(AND(AF101&gt;h,AD101&gt;=R),N$2,0))</f>
        <v>0.017273766840873117</v>
      </c>
      <c r="AJ101" s="87">
        <f t="shared" si="129"/>
        <v>0</v>
      </c>
      <c r="AK101" s="88">
        <f t="shared" si="130"/>
        <v>259.99636363636455</v>
      </c>
      <c r="AL101" s="89">
        <f t="shared" si="131"/>
        <v>0</v>
      </c>
      <c r="AM101" s="90">
        <f t="shared" si="132"/>
        <v>253.99636363636455</v>
      </c>
      <c r="AN101" s="89">
        <f>IF(AND(X101&gt;=h,AF101&gt;0,AF101&lt;h),bz*h+(h-AF101)*AM101/2,0)</f>
        <v>0</v>
      </c>
      <c r="AO101" s="89">
        <f t="shared" si="103"/>
        <v>0</v>
      </c>
      <c r="AP101" s="91">
        <f t="shared" si="104"/>
        <v>0</v>
      </c>
      <c r="AQ101" s="89">
        <f t="shared" si="105"/>
        <v>0.1386293706293712</v>
      </c>
      <c r="AR101" s="90">
        <f t="shared" si="133"/>
        <v>3.0350619030774673</v>
      </c>
      <c r="AS101" s="89">
        <f>IF(beta=0,0,IF(AND(AD101&gt;R,AD101&lt;hmx),(hmx-R)^2/TAN(beta)/2-(hmx-AD101)*(bz+R-AR101)/2,IF(AD101&gt;=hmx,(hmx-R)^2/TAN(beta)/2,0)))</f>
        <v>0</v>
      </c>
      <c r="AT101" s="90">
        <f t="shared" si="107"/>
        <v>3.0350619030774673</v>
      </c>
      <c r="AU101" s="89">
        <f>IF(AD101&gt;=R,-AN$1,IF(OR(AF101&lt;h,beta=0),0,-(AF101-h)*(AT101-bz)/2))</f>
        <v>0</v>
      </c>
      <c r="AV101" s="89">
        <f t="shared" si="109"/>
        <v>0</v>
      </c>
      <c r="AW101" s="89">
        <f t="shared" si="110"/>
        <v>0</v>
      </c>
      <c r="AX101" s="89">
        <f t="shared" si="111"/>
        <v>0</v>
      </c>
      <c r="AY101" s="89">
        <f t="shared" si="112"/>
        <v>0</v>
      </c>
      <c r="AZ101" s="90" t="b">
        <f t="shared" si="113"/>
        <v>0</v>
      </c>
      <c r="BA101" s="90" t="b">
        <f t="shared" si="114"/>
        <v>0</v>
      </c>
      <c r="BB101" s="64" t="b">
        <f t="shared" si="115"/>
        <v>0</v>
      </c>
      <c r="BC101" s="92">
        <f t="shared" si="116"/>
        <v>0</v>
      </c>
      <c r="BD101" s="90">
        <f>IF(R&gt;0,(AI101+AJ101+AL101+AN101+AO101+AP101+AQ101+AS101+AU101+AV101+AW101+AX101+AY101),BC101)</f>
        <v>0.1559031374702443</v>
      </c>
      <c r="BE101" s="64"/>
      <c r="BF101" s="90">
        <f t="shared" si="121"/>
        <v>0.1559031374702443</v>
      </c>
      <c r="BG101" s="64"/>
      <c r="BH101" s="64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</row>
    <row r="102" spans="1:157" ht="12.75">
      <c r="A102" s="64"/>
      <c r="B102" s="64"/>
      <c r="C102" s="64"/>
      <c r="D102" s="64"/>
      <c r="E102" s="64"/>
      <c r="F102" s="64">
        <f t="shared" si="134"/>
        <v>97</v>
      </c>
      <c r="G102" s="64">
        <f>hmx*F102/100</f>
        <v>3.88</v>
      </c>
      <c r="H102" s="75">
        <v>1</v>
      </c>
      <c r="I102" s="64">
        <f t="shared" si="93"/>
        <v>-12</v>
      </c>
      <c r="J102" s="64">
        <f t="shared" si="89"/>
        <v>27.7744</v>
      </c>
      <c r="K102" s="64">
        <f t="shared" si="90"/>
        <v>5.736061366477872</v>
      </c>
      <c r="L102" s="64">
        <f t="shared" si="125"/>
        <v>9</v>
      </c>
      <c r="M102" s="64">
        <f t="shared" si="91"/>
        <v>3.88</v>
      </c>
      <c r="N102" s="64">
        <f t="shared" si="92"/>
        <v>1.8685080215340726</v>
      </c>
      <c r="O102" s="64">
        <f t="shared" si="135"/>
        <v>7.0685834705770345</v>
      </c>
      <c r="P102" s="64">
        <f t="shared" si="126"/>
        <v>12</v>
      </c>
      <c r="Q102" s="64">
        <f t="shared" si="127"/>
        <v>0.75</v>
      </c>
      <c r="R102" s="64">
        <f t="shared" si="95"/>
        <v>0.7392</v>
      </c>
      <c r="S102" s="93">
        <f t="shared" si="77"/>
        <v>19.057783470577036</v>
      </c>
      <c r="T102" s="94">
        <f t="shared" si="123"/>
        <v>3.88</v>
      </c>
      <c r="U102" s="95">
        <f t="shared" si="78"/>
        <v>19.057783470577036</v>
      </c>
      <c r="V102" s="64"/>
      <c r="W102" s="75">
        <f t="shared" si="119"/>
        <v>19.399999999999963</v>
      </c>
      <c r="X102" s="86">
        <f t="shared" si="120"/>
        <v>0.00030069930069947723</v>
      </c>
      <c r="Y102" s="64">
        <f t="shared" si="96"/>
        <v>1.0000591715976332</v>
      </c>
      <c r="Z102" s="64">
        <f t="shared" si="97"/>
        <v>-12.046149220010758</v>
      </c>
      <c r="AA102" s="64">
        <f t="shared" si="79"/>
        <v>35.99819589461587</v>
      </c>
      <c r="AB102" s="64">
        <f t="shared" si="80"/>
        <v>1.0528091798850887</v>
      </c>
      <c r="AC102" s="64">
        <f t="shared" si="81"/>
        <v>6.549091679730187</v>
      </c>
      <c r="AD102" s="64">
        <f t="shared" si="82"/>
        <v>0.05067832760631612</v>
      </c>
      <c r="AE102" s="64">
        <f>IF(AND(AD102&gt;0,AD102&lt;=R),ACOS((R-AD102)/R),PI()/2)</f>
        <v>0.18406820620859943</v>
      </c>
      <c r="AF102" s="86">
        <f t="shared" si="128"/>
        <v>0.04645454545454547</v>
      </c>
      <c r="AG102" s="64">
        <f t="shared" si="99"/>
        <v>0.8283069279386974</v>
      </c>
      <c r="AH102" s="64">
        <f t="shared" si="100"/>
        <v>0.8108836173979106</v>
      </c>
      <c r="AI102" s="87">
        <f>IF(AND(AD102&gt;0,AF102&gt;=0),AG102-AH102,IF(AND(AF102&gt;h,AD102&gt;=R),N$2,0))</f>
        <v>0.01742331054078683</v>
      </c>
      <c r="AJ102" s="87">
        <f t="shared" si="129"/>
        <v>0</v>
      </c>
      <c r="AK102" s="88">
        <f t="shared" si="130"/>
        <v>259.96090909091</v>
      </c>
      <c r="AL102" s="89">
        <f t="shared" si="131"/>
        <v>0</v>
      </c>
      <c r="AM102" s="90">
        <f t="shared" si="132"/>
        <v>253.96090909090998</v>
      </c>
      <c r="AN102" s="89">
        <f>IF(AND(X102&gt;=h,AF102&gt;0,AF102&lt;h),bz*h+(h-AF102)*AM102/2,0)</f>
        <v>0</v>
      </c>
      <c r="AO102" s="89">
        <f t="shared" si="103"/>
        <v>0</v>
      </c>
      <c r="AP102" s="91">
        <f t="shared" si="104"/>
        <v>0</v>
      </c>
      <c r="AQ102" s="89">
        <f t="shared" si="105"/>
        <v>0.14026573426573485</v>
      </c>
      <c r="AR102" s="90">
        <f t="shared" si="133"/>
        <v>3.03547576936682</v>
      </c>
      <c r="AS102" s="89">
        <f>IF(beta=0,0,IF(AND(AD102&gt;R,AD102&lt;hmx),(hmx-R)^2/TAN(beta)/2-(hmx-AD102)*(bz+R-AR102)/2,IF(AD102&gt;=hmx,(hmx-R)^2/TAN(beta)/2,0)))</f>
        <v>0</v>
      </c>
      <c r="AT102" s="90">
        <f t="shared" si="107"/>
        <v>3.03547576936682</v>
      </c>
      <c r="AU102" s="89">
        <f>IF(AD102&gt;=R,-AN$1,IF(OR(AF102&lt;h,beta=0),0,-(AF102-h)*(AT102-bz)/2))</f>
        <v>0</v>
      </c>
      <c r="AV102" s="89">
        <f t="shared" si="109"/>
        <v>0</v>
      </c>
      <c r="AW102" s="89">
        <f t="shared" si="110"/>
        <v>0</v>
      </c>
      <c r="AX102" s="89">
        <f t="shared" si="111"/>
        <v>0</v>
      </c>
      <c r="AY102" s="89">
        <f t="shared" si="112"/>
        <v>0</v>
      </c>
      <c r="AZ102" s="90" t="b">
        <f t="shared" si="113"/>
        <v>0</v>
      </c>
      <c r="BA102" s="90" t="b">
        <f t="shared" si="114"/>
        <v>0</v>
      </c>
      <c r="BB102" s="64" t="b">
        <f t="shared" si="115"/>
        <v>0</v>
      </c>
      <c r="BC102" s="92">
        <f t="shared" si="116"/>
        <v>0</v>
      </c>
      <c r="BD102" s="90">
        <f>IF(R&gt;0,(AI102+AJ102+AL102+AN102+AO102+AP102+AQ102+AS102+AU102+AV102+AW102+AX102+AY102),BC102)</f>
        <v>0.15768904480652168</v>
      </c>
      <c r="BE102" s="64"/>
      <c r="BF102" s="90">
        <f t="shared" si="121"/>
        <v>0.15768904480652168</v>
      </c>
      <c r="BG102" s="64"/>
      <c r="BH102" s="64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</row>
    <row r="103" spans="1:157" ht="12.75">
      <c r="A103" s="64"/>
      <c r="B103" s="64"/>
      <c r="C103" s="64"/>
      <c r="D103" s="64"/>
      <c r="E103" s="64"/>
      <c r="F103" s="64">
        <f t="shared" si="134"/>
        <v>98</v>
      </c>
      <c r="G103" s="64">
        <f>hmx*F103/100</f>
        <v>3.92</v>
      </c>
      <c r="H103" s="75">
        <v>1</v>
      </c>
      <c r="I103" s="64">
        <f t="shared" si="93"/>
        <v>-12</v>
      </c>
      <c r="J103" s="64">
        <f t="shared" si="89"/>
        <v>27.8464</v>
      </c>
      <c r="K103" s="64">
        <f t="shared" si="90"/>
        <v>5.710901855223919</v>
      </c>
      <c r="L103" s="64">
        <f t="shared" si="125"/>
        <v>9</v>
      </c>
      <c r="M103" s="64">
        <f t="shared" si="91"/>
        <v>3.92</v>
      </c>
      <c r="N103" s="64">
        <f t="shared" si="92"/>
        <v>1.8824853002266948</v>
      </c>
      <c r="O103" s="64">
        <f t="shared" si="135"/>
        <v>7.0685834705770345</v>
      </c>
      <c r="P103" s="64">
        <f t="shared" si="126"/>
        <v>12</v>
      </c>
      <c r="Q103" s="64">
        <f t="shared" si="127"/>
        <v>0.75</v>
      </c>
      <c r="R103" s="64">
        <f t="shared" si="95"/>
        <v>0.7452</v>
      </c>
      <c r="S103" s="93">
        <f t="shared" si="77"/>
        <v>19.063783470577036</v>
      </c>
      <c r="T103" s="94">
        <f t="shared" si="123"/>
        <v>3.92</v>
      </c>
      <c r="U103" s="95">
        <f t="shared" si="78"/>
        <v>19.063783470577036</v>
      </c>
      <c r="V103" s="64"/>
      <c r="W103" s="75">
        <f t="shared" si="119"/>
        <v>19.599999999999962</v>
      </c>
      <c r="X103" s="86">
        <f t="shared" si="120"/>
        <v>0.0005734265734267489</v>
      </c>
      <c r="Y103" s="64">
        <f t="shared" si="96"/>
        <v>1.0000591715976332</v>
      </c>
      <c r="Z103" s="64">
        <f t="shared" si="97"/>
        <v>-12.046145024206563</v>
      </c>
      <c r="AA103" s="64">
        <f t="shared" si="79"/>
        <v>35.99655976937747</v>
      </c>
      <c r="AB103" s="64">
        <f t="shared" si="80"/>
        <v>1.0558650344164418</v>
      </c>
      <c r="AC103" s="64">
        <f t="shared" si="81"/>
        <v>6.5506174188133475</v>
      </c>
      <c r="AD103" s="64">
        <f t="shared" si="82"/>
        <v>0.05096279133352924</v>
      </c>
      <c r="AE103" s="64">
        <f>IF(AND(AD103&gt;0,AD103&lt;=R),ACOS((R-AD103)/R),PI()/2)</f>
        <v>0.1845855497883604</v>
      </c>
      <c r="AF103" s="86">
        <f t="shared" si="128"/>
        <v>0.04672727272727274</v>
      </c>
      <c r="AG103" s="64">
        <f t="shared" si="99"/>
        <v>0.8306349740476218</v>
      </c>
      <c r="AH103" s="64">
        <f t="shared" si="100"/>
        <v>0.813061703071382</v>
      </c>
      <c r="AI103" s="87">
        <f>IF(AND(AD103&gt;0,AF103&gt;=0),AG103-AH103,IF(AND(AF103&gt;h,AD103&gt;=R),N$2,0))</f>
        <v>0.01757327097623973</v>
      </c>
      <c r="AJ103" s="87">
        <f t="shared" si="129"/>
        <v>0</v>
      </c>
      <c r="AK103" s="88">
        <f t="shared" si="130"/>
        <v>259.92545454545547</v>
      </c>
      <c r="AL103" s="89">
        <f t="shared" si="131"/>
        <v>0</v>
      </c>
      <c r="AM103" s="90">
        <f t="shared" si="132"/>
        <v>253.92545454545544</v>
      </c>
      <c r="AN103" s="89">
        <f>IF(AND(X103&gt;=h,AF103&gt;0,AF103&lt;h),bz*h+(h-AF103)*AM103/2,0)</f>
        <v>0</v>
      </c>
      <c r="AO103" s="89">
        <f t="shared" si="103"/>
        <v>0</v>
      </c>
      <c r="AP103" s="91">
        <f t="shared" si="104"/>
        <v>0</v>
      </c>
      <c r="AQ103" s="89">
        <f t="shared" si="105"/>
        <v>0.14190209790209848</v>
      </c>
      <c r="AR103" s="90">
        <f t="shared" si="133"/>
        <v>3.0358896356561726</v>
      </c>
      <c r="AS103" s="89">
        <f>IF(beta=0,0,IF(AND(AD103&gt;R,AD103&lt;hmx),(hmx-R)^2/TAN(beta)/2-(hmx-AD103)*(bz+R-AR103)/2,IF(AD103&gt;=hmx,(hmx-R)^2/TAN(beta)/2,0)))</f>
        <v>0</v>
      </c>
      <c r="AT103" s="90">
        <f t="shared" si="107"/>
        <v>3.035889635656173</v>
      </c>
      <c r="AU103" s="89">
        <f>IF(AD103&gt;=R,-AN$1,IF(OR(AF103&lt;h,beta=0),0,-(AF103-h)*(AT103-bz)/2))</f>
        <v>0</v>
      </c>
      <c r="AV103" s="89">
        <f t="shared" si="109"/>
        <v>0</v>
      </c>
      <c r="AW103" s="89">
        <f t="shared" si="110"/>
        <v>0</v>
      </c>
      <c r="AX103" s="89">
        <f t="shared" si="111"/>
        <v>0</v>
      </c>
      <c r="AY103" s="89">
        <f t="shared" si="112"/>
        <v>0</v>
      </c>
      <c r="AZ103" s="90" t="b">
        <f t="shared" si="113"/>
        <v>0</v>
      </c>
      <c r="BA103" s="90" t="b">
        <f t="shared" si="114"/>
        <v>0</v>
      </c>
      <c r="BB103" s="64" t="b">
        <f t="shared" si="115"/>
        <v>0</v>
      </c>
      <c r="BC103" s="92">
        <f t="shared" si="116"/>
        <v>0</v>
      </c>
      <c r="BD103" s="90">
        <f>IF(R&gt;0,(AI103+AJ103+AL103+AN103+AO103+AP103+AQ103+AS103+AU103+AV103+AW103+AX103+AY103),BC103)</f>
        <v>0.15947536887833821</v>
      </c>
      <c r="BE103" s="64"/>
      <c r="BF103" s="90">
        <f t="shared" si="121"/>
        <v>0.15947536887833821</v>
      </c>
      <c r="BG103" s="64"/>
      <c r="BH103" s="64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</row>
    <row r="104" spans="1:157" ht="12.75">
      <c r="A104" s="64"/>
      <c r="B104" s="64"/>
      <c r="C104" s="64"/>
      <c r="D104" s="64"/>
      <c r="E104" s="64"/>
      <c r="F104" s="64">
        <f t="shared" si="134"/>
        <v>99</v>
      </c>
      <c r="G104" s="64">
        <f>hmx*F104/100</f>
        <v>3.96</v>
      </c>
      <c r="H104" s="75">
        <v>1</v>
      </c>
      <c r="I104" s="64">
        <f t="shared" si="93"/>
        <v>-12</v>
      </c>
      <c r="J104" s="64">
        <f t="shared" si="89"/>
        <v>27.921600000000005</v>
      </c>
      <c r="K104" s="64">
        <f t="shared" si="90"/>
        <v>5.684505255516964</v>
      </c>
      <c r="L104" s="64">
        <f t="shared" si="125"/>
        <v>9</v>
      </c>
      <c r="M104" s="64">
        <f t="shared" si="91"/>
        <v>3.96</v>
      </c>
      <c r="N104" s="64">
        <f t="shared" si="92"/>
        <v>1.8965258140895267</v>
      </c>
      <c r="O104" s="64">
        <f t="shared" si="135"/>
        <v>7.0685834705770345</v>
      </c>
      <c r="P104" s="64">
        <f t="shared" si="126"/>
        <v>12</v>
      </c>
      <c r="Q104" s="64">
        <f t="shared" si="127"/>
        <v>0.75</v>
      </c>
      <c r="R104" s="64">
        <f t="shared" si="95"/>
        <v>0.7488</v>
      </c>
      <c r="S104" s="93">
        <f t="shared" si="77"/>
        <v>19.067383470577035</v>
      </c>
      <c r="T104" s="94">
        <f t="shared" si="123"/>
        <v>3.96</v>
      </c>
      <c r="U104" s="95">
        <f t="shared" si="78"/>
        <v>19.067383470577035</v>
      </c>
      <c r="V104" s="64"/>
      <c r="W104" s="75">
        <f t="shared" si="119"/>
        <v>19.79999999999996</v>
      </c>
      <c r="X104" s="86">
        <f t="shared" si="120"/>
        <v>0.0008461538461540206</v>
      </c>
      <c r="Y104" s="64">
        <f t="shared" si="96"/>
        <v>1.0000591715976332</v>
      </c>
      <c r="Z104" s="64">
        <f t="shared" si="97"/>
        <v>-12.046140828402367</v>
      </c>
      <c r="AA104" s="64">
        <f t="shared" si="79"/>
        <v>35.99492379289941</v>
      </c>
      <c r="AB104" s="64">
        <f t="shared" si="80"/>
        <v>1.0589117892982323</v>
      </c>
      <c r="AC104" s="64">
        <f t="shared" si="81"/>
        <v>6.552138608340929</v>
      </c>
      <c r="AD104" s="64">
        <f t="shared" si="82"/>
        <v>0.05124722006416099</v>
      </c>
      <c r="AE104" s="64">
        <f>IF(AND(AD104&gt;0,AD104&lt;=R),ACOS((R-AD104)/R),PI()/2)</f>
        <v>0.18510140047032642</v>
      </c>
      <c r="AF104" s="86">
        <f t="shared" si="128"/>
        <v>0.047000000000000014</v>
      </c>
      <c r="AG104" s="64">
        <f t="shared" si="99"/>
        <v>0.8329563021164689</v>
      </c>
      <c r="AH104" s="64">
        <f t="shared" si="100"/>
        <v>0.8152326552153816</v>
      </c>
      <c r="AI104" s="87">
        <f>IF(AND(AD104&gt;0,AF104&gt;=0),AG104-AH104,IF(AND(AF104&gt;h,AD104&gt;=R),N$2,0))</f>
        <v>0.017723646901087298</v>
      </c>
      <c r="AJ104" s="87">
        <f t="shared" si="129"/>
        <v>0</v>
      </c>
      <c r="AK104" s="88">
        <f t="shared" si="130"/>
        <v>259.8900000000009</v>
      </c>
      <c r="AL104" s="89">
        <f t="shared" si="131"/>
        <v>0</v>
      </c>
      <c r="AM104" s="90">
        <f t="shared" si="132"/>
        <v>253.89000000000092</v>
      </c>
      <c r="AN104" s="89">
        <f>IF(AND(X104&gt;=h,AF104&gt;0,AF104&lt;h),bz*h+(h-AF104)*AM104/2,0)</f>
        <v>0</v>
      </c>
      <c r="AO104" s="89">
        <f t="shared" si="103"/>
        <v>0</v>
      </c>
      <c r="AP104" s="91">
        <f t="shared" si="104"/>
        <v>0</v>
      </c>
      <c r="AQ104" s="89">
        <f t="shared" si="105"/>
        <v>0.14353846153846211</v>
      </c>
      <c r="AR104" s="90">
        <f t="shared" si="133"/>
        <v>3.0363035019455253</v>
      </c>
      <c r="AS104" s="89">
        <f>IF(beta=0,0,IF(AND(AD104&gt;R,AD104&lt;hmx),(hmx-R)^2/TAN(beta)/2-(hmx-AD104)*(bz+R-AR104)/2,IF(AD104&gt;=hmx,(hmx-R)^2/TAN(beta)/2,0)))</f>
        <v>0</v>
      </c>
      <c r="AT104" s="90">
        <f t="shared" si="107"/>
        <v>3.036303501945526</v>
      </c>
      <c r="AU104" s="89">
        <f>IF(AD104&gt;=R,-AN$1,IF(OR(AF104&lt;h,beta=0),0,-(AF104-h)*(AT104-bz)/2))</f>
        <v>0</v>
      </c>
      <c r="AV104" s="89">
        <f t="shared" si="109"/>
        <v>0</v>
      </c>
      <c r="AW104" s="89">
        <f t="shared" si="110"/>
        <v>0</v>
      </c>
      <c r="AX104" s="89">
        <f t="shared" si="111"/>
        <v>0</v>
      </c>
      <c r="AY104" s="89">
        <f t="shared" si="112"/>
        <v>0</v>
      </c>
      <c r="AZ104" s="90" t="b">
        <f t="shared" si="113"/>
        <v>0</v>
      </c>
      <c r="BA104" s="90" t="b">
        <f t="shared" si="114"/>
        <v>0</v>
      </c>
      <c r="BB104" s="64" t="b">
        <f t="shared" si="115"/>
        <v>0</v>
      </c>
      <c r="BC104" s="92">
        <f t="shared" si="116"/>
        <v>0</v>
      </c>
      <c r="BD104" s="90">
        <f>IF(R&gt;0,(AI104+AJ104+AL104+AN104+AO104+AP104+AQ104+AS104+AU104+AV104+AW104+AX104+AY104),BC104)</f>
        <v>0.1612621084395494</v>
      </c>
      <c r="BE104" s="64"/>
      <c r="BF104" s="90">
        <f t="shared" si="121"/>
        <v>0.1612621084395494</v>
      </c>
      <c r="BG104" s="64"/>
      <c r="BH104" s="64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</row>
    <row r="105" spans="1:157" ht="13.5" thickBot="1">
      <c r="A105" s="64"/>
      <c r="B105" s="64"/>
      <c r="C105" s="64"/>
      <c r="D105" s="64"/>
      <c r="E105" s="64"/>
      <c r="F105" s="64">
        <f t="shared" si="134"/>
        <v>100</v>
      </c>
      <c r="G105" s="64">
        <f>hmx*F105/100</f>
        <v>4</v>
      </c>
      <c r="H105" s="75">
        <v>1</v>
      </c>
      <c r="I105" s="64">
        <f t="shared" si="93"/>
        <v>-12</v>
      </c>
      <c r="J105" s="64">
        <f t="shared" si="89"/>
        <v>28</v>
      </c>
      <c r="K105" s="64">
        <f t="shared" si="90"/>
        <v>5.656854249492381</v>
      </c>
      <c r="L105" s="64">
        <f t="shared" si="125"/>
        <v>9</v>
      </c>
      <c r="M105" s="64">
        <f t="shared" si="91"/>
        <v>4</v>
      </c>
      <c r="N105" s="64">
        <f t="shared" si="92"/>
        <v>1.9106332362490184</v>
      </c>
      <c r="O105" s="64">
        <f t="shared" si="135"/>
        <v>7.0685834705770345</v>
      </c>
      <c r="P105" s="64">
        <f t="shared" si="126"/>
        <v>12</v>
      </c>
      <c r="Q105" s="64">
        <f t="shared" si="127"/>
        <v>0.75</v>
      </c>
      <c r="R105" s="64">
        <f t="shared" si="95"/>
        <v>0.75</v>
      </c>
      <c r="S105" s="96">
        <f t="shared" si="77"/>
        <v>19.068583470577035</v>
      </c>
      <c r="T105" s="97">
        <f t="shared" si="123"/>
        <v>4</v>
      </c>
      <c r="U105" s="98">
        <f t="shared" si="78"/>
        <v>19.068583470577035</v>
      </c>
      <c r="V105" s="64"/>
      <c r="W105" s="75">
        <f t="shared" si="119"/>
        <v>19.99999999999996</v>
      </c>
      <c r="X105" s="86">
        <f t="shared" si="120"/>
        <v>0.0011188811188812924</v>
      </c>
      <c r="Y105" s="64">
        <f t="shared" si="96"/>
        <v>1.0000591715976332</v>
      </c>
      <c r="Z105" s="64">
        <f t="shared" si="97"/>
        <v>-12.04613663259817</v>
      </c>
      <c r="AA105" s="64">
        <f t="shared" si="79"/>
        <v>35.99328796518167</v>
      </c>
      <c r="AB105" s="64">
        <f t="shared" si="80"/>
        <v>1.061949522851718</v>
      </c>
      <c r="AC105" s="64">
        <f t="shared" si="81"/>
        <v>6.553655287471247</v>
      </c>
      <c r="AD105" s="64">
        <f t="shared" si="82"/>
        <v>0.05153161409942916</v>
      </c>
      <c r="AE105" s="64">
        <f>IF(AND(AD105&gt;0,AD105&lt;=R),ACOS((R-AD105)/R),PI()/2)</f>
        <v>0.18561577124063877</v>
      </c>
      <c r="AF105" s="86">
        <f t="shared" si="128"/>
        <v>0.047272727272727286</v>
      </c>
      <c r="AG105" s="64">
        <f t="shared" si="99"/>
        <v>0.8352709705828745</v>
      </c>
      <c r="AH105" s="64">
        <f t="shared" si="100"/>
        <v>0.8173965335030043</v>
      </c>
      <c r="AI105" s="87">
        <f>IF(AND(AD105&gt;0,AF105&gt;=0),AG105-AH105,IF(AND(AF105&gt;h,AD105&gt;=R),N$2,0))</f>
        <v>0.01787443707987013</v>
      </c>
      <c r="AJ105" s="87">
        <f t="shared" si="129"/>
        <v>0</v>
      </c>
      <c r="AK105" s="88">
        <f t="shared" si="130"/>
        <v>259.8545454545463</v>
      </c>
      <c r="AL105" s="89">
        <f t="shared" si="131"/>
        <v>0</v>
      </c>
      <c r="AM105" s="90">
        <f t="shared" si="132"/>
        <v>253.85454545454635</v>
      </c>
      <c r="AN105" s="89">
        <f>IF(AND(X105&gt;=h,AF105&gt;0,AF105&lt;h),bz*h+(h-AF105)*AM105/2,0)</f>
        <v>0</v>
      </c>
      <c r="AO105" s="89">
        <f t="shared" si="103"/>
        <v>0</v>
      </c>
      <c r="AP105" s="91">
        <f t="shared" si="104"/>
        <v>0</v>
      </c>
      <c r="AQ105" s="89">
        <f t="shared" si="105"/>
        <v>0.14517482517482574</v>
      </c>
      <c r="AR105" s="90">
        <f t="shared" si="133"/>
        <v>3.0367173682348776</v>
      </c>
      <c r="AS105" s="89">
        <f>IF(beta=0,0,IF(AND(AD105&gt;R,AD105&lt;hmx),(hmx-R)^2/TAN(beta)/2-(hmx-AD105)*(bz+R-AR105)/2,IF(AD105&gt;=hmx,(hmx-R)^2/TAN(beta)/2,0)))</f>
        <v>0</v>
      </c>
      <c r="AT105" s="90">
        <f t="shared" si="107"/>
        <v>3.0367173682348785</v>
      </c>
      <c r="AU105" s="89">
        <f>IF(AD105&gt;=R,-AN$1,IF(OR(AF105&lt;h,beta=0),0,-(AF105-h)*(AT105-bz)/2))</f>
        <v>0</v>
      </c>
      <c r="AV105" s="89">
        <f t="shared" si="109"/>
        <v>0</v>
      </c>
      <c r="AW105" s="89">
        <f t="shared" si="110"/>
        <v>0</v>
      </c>
      <c r="AX105" s="89">
        <f t="shared" si="111"/>
        <v>0</v>
      </c>
      <c r="AY105" s="89">
        <f t="shared" si="112"/>
        <v>0</v>
      </c>
      <c r="AZ105" s="90" t="b">
        <f t="shared" si="113"/>
        <v>0</v>
      </c>
      <c r="BA105" s="90" t="b">
        <f t="shared" si="114"/>
        <v>0</v>
      </c>
      <c r="BB105" s="64" t="b">
        <f t="shared" si="115"/>
        <v>0</v>
      </c>
      <c r="BC105" s="92">
        <f t="shared" si="116"/>
        <v>0</v>
      </c>
      <c r="BD105" s="90">
        <f>IF(R&gt;0,(AI105+AJ105+AL105+AN105+AO105+AP105+AQ105+AS105+AU105+AV105+AW105+AX105+AY105),BC105)</f>
        <v>0.16304926225469588</v>
      </c>
      <c r="BE105" s="64"/>
      <c r="BF105" s="90">
        <f>IF(BD105&gt;FF,FF/2,BD105/2)</f>
        <v>0.08152463112734794</v>
      </c>
      <c r="BG105" s="64"/>
      <c r="BH105" s="64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 spans="1:157" ht="13.5" thickBot="1">
      <c r="A106" s="64"/>
      <c r="B106" s="64"/>
      <c r="C106" s="64"/>
      <c r="D106" s="64"/>
      <c r="E106" s="64"/>
      <c r="F106" s="64"/>
      <c r="G106" s="64">
        <v>1.17</v>
      </c>
      <c r="H106" s="75">
        <v>1</v>
      </c>
      <c r="I106" s="64">
        <f t="shared" si="93"/>
        <v>-12</v>
      </c>
      <c r="J106" s="64">
        <f>G106^2+bz^2-2*R*G106</f>
        <v>30.348899999999997</v>
      </c>
      <c r="K106" s="64">
        <f>IF((I106^2-4*H106*J106)&gt;=0,(I106^2-4*H106*J106)^0.5,0)</f>
        <v>4.754408480557808</v>
      </c>
      <c r="L106" s="64">
        <f>IF(G106&gt;=R,(bz+R),(-I106+K106)/(2*H106))</f>
        <v>8.377204240278903</v>
      </c>
      <c r="M106" s="64">
        <f>G106</f>
        <v>1.17</v>
      </c>
      <c r="N106" s="64">
        <f>IF(R&gt;0,ACOS((R-G106)/R),0)</f>
        <v>0.9147357358699739</v>
      </c>
      <c r="O106" s="64">
        <f t="shared" si="135"/>
        <v>1.9411689315596852</v>
      </c>
      <c r="P106" s="64">
        <f>IF(G106&lt;=h,bz*G106,bz*h)</f>
        <v>7.02</v>
      </c>
      <c r="Q106" s="64">
        <f>IF(AND(G106&gt;h,G106&lt;=R,beta&gt;0),(G106-h)^2/2/TAN(beta),IF(G106&gt;R,tru,0))</f>
        <v>0</v>
      </c>
      <c r="R106" s="64">
        <f>IF(AND(beta=0,G106&gt;=R,hmx=hmw),R*(G106-R),IF(G106&lt;R,0,(2*db-(G106-R)/TAN(beta))*(G106-R)/2))</f>
        <v>0</v>
      </c>
      <c r="S106" s="96">
        <f t="shared" si="77"/>
        <v>8.961168931559685</v>
      </c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86"/>
      <c r="AG106" s="64"/>
      <c r="AH106" s="64"/>
      <c r="AI106" s="71"/>
      <c r="AJ106" s="87"/>
      <c r="AK106" s="88"/>
      <c r="AL106" s="89"/>
      <c r="AM106" s="90"/>
      <c r="AN106" s="89"/>
      <c r="AO106" s="89"/>
      <c r="AP106" s="91"/>
      <c r="AQ106" s="89"/>
      <c r="AR106" s="90"/>
      <c r="AS106" s="89"/>
      <c r="AT106" s="90"/>
      <c r="AU106" s="89"/>
      <c r="AV106" s="89"/>
      <c r="AW106" s="89"/>
      <c r="AX106" s="89"/>
      <c r="AY106" s="89"/>
      <c r="AZ106" s="89"/>
      <c r="BA106" s="89"/>
      <c r="BB106" s="89"/>
      <c r="BC106" s="89"/>
      <c r="BD106" s="99"/>
      <c r="BE106" s="64"/>
      <c r="BF106" s="68">
        <f>SUM(BF5:BF105)</f>
        <v>8.864543910842352</v>
      </c>
      <c r="BG106" s="64"/>
      <c r="BH106" s="64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 spans="1:157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81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86"/>
      <c r="AG107" s="64"/>
      <c r="AH107" s="64"/>
      <c r="AI107" s="71"/>
      <c r="AJ107" s="87"/>
      <c r="AK107" s="88"/>
      <c r="AL107" s="89"/>
      <c r="AM107" s="90"/>
      <c r="AN107" s="89"/>
      <c r="AO107" s="89"/>
      <c r="AP107" s="91"/>
      <c r="AQ107" s="89"/>
      <c r="AR107" s="90"/>
      <c r="AS107" s="89"/>
      <c r="AT107" s="90"/>
      <c r="AU107" s="89"/>
      <c r="AV107" s="89"/>
      <c r="AW107" s="89"/>
      <c r="AX107" s="89"/>
      <c r="AY107" s="89"/>
      <c r="AZ107" s="89"/>
      <c r="BA107" s="89"/>
      <c r="BB107" s="89"/>
      <c r="BC107" s="89"/>
      <c r="BD107" s="99"/>
      <c r="BE107" s="64"/>
      <c r="BF107" s="64"/>
      <c r="BG107" s="64"/>
      <c r="BH107" s="64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</row>
    <row r="108" spans="1:114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86"/>
      <c r="AG108" s="64"/>
      <c r="AH108" s="64"/>
      <c r="AI108" s="71"/>
      <c r="AJ108" s="87"/>
      <c r="AK108" s="88"/>
      <c r="AL108" s="89"/>
      <c r="AM108" s="90"/>
      <c r="AN108" s="89"/>
      <c r="AO108" s="89"/>
      <c r="AP108" s="91"/>
      <c r="AQ108" s="89"/>
      <c r="AR108" s="90"/>
      <c r="AS108" s="89"/>
      <c r="AT108" s="90"/>
      <c r="AU108" s="89"/>
      <c r="AV108" s="89"/>
      <c r="AW108" s="89"/>
      <c r="AX108" s="89"/>
      <c r="AY108" s="89"/>
      <c r="AZ108" s="89"/>
      <c r="BA108" s="89"/>
      <c r="BB108" s="89"/>
      <c r="BC108" s="89"/>
      <c r="BD108" s="99"/>
      <c r="BE108" s="64"/>
      <c r="BF108" s="64"/>
      <c r="BG108" s="64"/>
      <c r="BH108" s="64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</row>
    <row r="109" spans="1:114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86"/>
      <c r="AG109" s="64"/>
      <c r="AH109" s="64"/>
      <c r="AI109" s="71"/>
      <c r="AJ109" s="87"/>
      <c r="AK109" s="88"/>
      <c r="AL109" s="89"/>
      <c r="AM109" s="90"/>
      <c r="AN109" s="89"/>
      <c r="AO109" s="89"/>
      <c r="AP109" s="91"/>
      <c r="AQ109" s="89"/>
      <c r="AR109" s="90"/>
      <c r="AS109" s="89"/>
      <c r="AT109" s="90"/>
      <c r="AU109" s="89"/>
      <c r="AV109" s="89"/>
      <c r="AW109" s="89"/>
      <c r="AX109" s="89"/>
      <c r="AY109" s="89"/>
      <c r="AZ109" s="89"/>
      <c r="BA109" s="89"/>
      <c r="BB109" s="89"/>
      <c r="BC109" s="89"/>
      <c r="BD109" s="90"/>
      <c r="BE109" s="64"/>
      <c r="BF109" s="64"/>
      <c r="BG109" s="64"/>
      <c r="BH109" s="64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</row>
    <row r="110" spans="1:11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7"/>
      <c r="AG110" s="43"/>
      <c r="AH110" s="43"/>
      <c r="AI110" s="42"/>
      <c r="AJ110" s="48"/>
      <c r="AK110" s="49"/>
      <c r="AL110" s="50"/>
      <c r="AM110" s="51"/>
      <c r="AN110" s="50"/>
      <c r="AO110" s="50"/>
      <c r="AP110" s="52"/>
      <c r="AQ110" s="50"/>
      <c r="AR110" s="51"/>
      <c r="AS110" s="50"/>
      <c r="AT110" s="51"/>
      <c r="AU110" s="50"/>
      <c r="AV110" s="50"/>
      <c r="AW110" s="50"/>
      <c r="AX110" s="50"/>
      <c r="AY110" s="50"/>
      <c r="AZ110" s="50"/>
      <c r="BA110" s="50"/>
      <c r="BB110" s="50"/>
      <c r="BC110" s="50"/>
      <c r="BD110" s="51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</row>
    <row r="111" spans="1:11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7"/>
      <c r="AG111" s="43"/>
      <c r="AH111" s="43"/>
      <c r="AI111" s="42"/>
      <c r="AJ111" s="48"/>
      <c r="AK111" s="49"/>
      <c r="AL111" s="50"/>
      <c r="AM111" s="51"/>
      <c r="AN111" s="50"/>
      <c r="AO111" s="50"/>
      <c r="AP111" s="52"/>
      <c r="AQ111" s="50"/>
      <c r="AR111" s="51"/>
      <c r="AS111" s="50"/>
      <c r="AT111" s="51"/>
      <c r="AU111" s="50"/>
      <c r="AV111" s="50"/>
      <c r="AW111" s="50"/>
      <c r="AX111" s="50"/>
      <c r="AY111" s="50"/>
      <c r="AZ111" s="50"/>
      <c r="BA111" s="50"/>
      <c r="BB111" s="50"/>
      <c r="BC111" s="50"/>
      <c r="BD111" s="51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</row>
    <row r="112" spans="1:11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</row>
    <row r="113" spans="1:11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</row>
    <row r="114" spans="1:11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</row>
    <row r="115" spans="1:11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</row>
    <row r="116" spans="1:11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</row>
    <row r="117" spans="1:11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</row>
    <row r="118" spans="1:114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</row>
    <row r="119" spans="1:114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</row>
    <row r="120" spans="1:114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</row>
    <row r="121" spans="1:114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</row>
    <row r="122" spans="1:114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</row>
    <row r="123" spans="1:114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</row>
    <row r="124" spans="1:114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</row>
    <row r="125" spans="1:114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</row>
    <row r="126" spans="10:66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</row>
    <row r="127" spans="10:66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</row>
    <row r="128" spans="10:66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</row>
    <row r="129" spans="10:66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</row>
    <row r="130" spans="10:66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</row>
    <row r="131" spans="10:66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</row>
    <row r="132" spans="10:66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</row>
    <row r="133" spans="10:66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</row>
    <row r="134" spans="10:66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</row>
    <row r="135" spans="10:66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</row>
    <row r="136" spans="10:66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</row>
    <row r="137" spans="10:66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</row>
    <row r="138" spans="10:66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</row>
    <row r="139" spans="10:66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</row>
    <row r="140" spans="10:66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</row>
  </sheetData>
  <sheetProtection password="E15D" sheet="1" objects="1" scenarios="1"/>
  <mergeCells count="2">
    <mergeCell ref="AJ3:AQ3"/>
    <mergeCell ref="AV4:BA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Kabaciński</dc:creator>
  <cp:keywords/>
  <dc:description/>
  <cp:lastModifiedBy>andy</cp:lastModifiedBy>
  <cp:lastPrinted>2009-01-27T17:21:56Z</cp:lastPrinted>
  <dcterms:created xsi:type="dcterms:W3CDTF">2009-01-08T16:24:26Z</dcterms:created>
  <dcterms:modified xsi:type="dcterms:W3CDTF">2010-01-02T10:28:02Z</dcterms:modified>
  <cp:category/>
  <cp:version/>
  <cp:contentType/>
  <cp:contentStatus/>
</cp:coreProperties>
</file>