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85" windowHeight="11640" activeTab="1"/>
  </bookViews>
  <sheets>
    <sheet name="Introduction" sheetId="1" r:id="rId1"/>
    <sheet name="Data and result" sheetId="2" r:id="rId2"/>
    <sheet name="Calculation" sheetId="3" r:id="rId3"/>
  </sheets>
  <definedNames>
    <definedName name="A">'Calculation'!$C$20</definedName>
    <definedName name="B">'Data and result'!$C$10</definedName>
    <definedName name="BB">'Calculation'!$C$21</definedName>
    <definedName name="beta">'Calculation'!$Q$2</definedName>
    <definedName name="bz">'Data and result'!$C$29</definedName>
    <definedName name="C">'Calculation'!$C$22</definedName>
    <definedName name="db">'Calculation'!$W$2</definedName>
    <definedName name="dh">'Calculation'!$L$2</definedName>
    <definedName name="DL">'Calculation'!$I$2</definedName>
    <definedName name="Draft">'Calculation'!$T$5:$U$105</definedName>
    <definedName name="DT">'Calculation'!$F$2</definedName>
    <definedName name="FF">'Calculation'!$AE$2</definedName>
    <definedName name="h">'Data and result'!$C$31</definedName>
    <definedName name="hmw">'Data and result'!$C$35</definedName>
    <definedName name="hmx">'Data and result'!$C$33</definedName>
    <definedName name="hpo">'Calculation'!$AB$2</definedName>
    <definedName name="Lpp">'Data and result'!$C$8</definedName>
    <definedName name="lr">'Data and result'!$C$39</definedName>
    <definedName name="lz">'Data and result'!$C$27</definedName>
    <definedName name="Nr">'Data and result'!$I$27</definedName>
    <definedName name="PLANE">'Calculation'!$S$5:$T$105</definedName>
    <definedName name="pro">'Calculation'!$AJ$1</definedName>
    <definedName name="R">'Data and result'!$C$37</definedName>
    <definedName name="s">'Data and result'!$C$43</definedName>
    <definedName name="t">'Calculation'!$C$2</definedName>
    <definedName name="TANK">'Calculation'!$BO$3:$BR$50</definedName>
    <definedName name="Td">'Data and result'!$C$12</definedName>
    <definedName name="Tl">'Data and result'!$C$18</definedName>
    <definedName name="Tp">'Data and result'!$C$16</definedName>
    <definedName name="Tr">'Data and result'!$C$14</definedName>
    <definedName name="tru">'Calculation'!$S$2</definedName>
    <definedName name="yr">'Data and result'!$C$41</definedName>
    <definedName name="z">'Data and result'!$C$47</definedName>
  </definedNames>
  <calcPr fullCalcOnLoad="1"/>
</workbook>
</file>

<file path=xl/sharedStrings.xml><?xml version="1.0" encoding="utf-8"?>
<sst xmlns="http://schemas.openxmlformats.org/spreadsheetml/2006/main" count="164" uniqueCount="130">
  <si>
    <t>B=</t>
  </si>
  <si>
    <t>DANE  ZBIORNIKA</t>
  </si>
  <si>
    <t>h=</t>
  </si>
  <si>
    <t>R=</t>
  </si>
  <si>
    <t>lr=</t>
  </si>
  <si>
    <t>yr=</t>
  </si>
  <si>
    <t>m</t>
  </si>
  <si>
    <t>s=</t>
  </si>
  <si>
    <t>z=</t>
  </si>
  <si>
    <t>t=</t>
  </si>
  <si>
    <t>DT=</t>
  </si>
  <si>
    <t>DL=</t>
  </si>
  <si>
    <t>hmx=</t>
  </si>
  <si>
    <t>dh=</t>
  </si>
  <si>
    <t>a=</t>
  </si>
  <si>
    <t>b=</t>
  </si>
  <si>
    <t>c=</t>
  </si>
  <si>
    <t>a</t>
  </si>
  <si>
    <t>b</t>
  </si>
  <si>
    <t>c</t>
  </si>
  <si>
    <t>(del)^2</t>
  </si>
  <si>
    <t>x</t>
  </si>
  <si>
    <t>y</t>
  </si>
  <si>
    <t>alfa</t>
  </si>
  <si>
    <t>dodat</t>
  </si>
  <si>
    <t>prost</t>
  </si>
  <si>
    <t>F</t>
  </si>
  <si>
    <t>O/4=</t>
  </si>
  <si>
    <t>cor</t>
  </si>
  <si>
    <t>beta=</t>
  </si>
  <si>
    <t>db=</t>
  </si>
  <si>
    <t>hmw=</t>
  </si>
  <si>
    <t>tru=</t>
  </si>
  <si>
    <t>SONDA</t>
  </si>
  <si>
    <t>T</t>
  </si>
  <si>
    <t>dL</t>
  </si>
  <si>
    <t>(del)^0,5</t>
  </si>
  <si>
    <t>hpo=</t>
  </si>
  <si>
    <t>yw</t>
  </si>
  <si>
    <t>F2</t>
  </si>
  <si>
    <t>Fo=</t>
  </si>
  <si>
    <t>Ft=</t>
  </si>
  <si>
    <t>F1</t>
  </si>
  <si>
    <t>sektor</t>
  </si>
  <si>
    <t>trojkat</t>
  </si>
  <si>
    <t>FF=</t>
  </si>
  <si>
    <t>dd=</t>
  </si>
  <si>
    <t>Δb</t>
  </si>
  <si>
    <t>Δb2</t>
  </si>
  <si>
    <t>Prostokąt lub trapez</t>
  </si>
  <si>
    <t>x4</t>
  </si>
  <si>
    <t>x5</t>
  </si>
  <si>
    <t>tr_mx=</t>
  </si>
  <si>
    <t>burtowy</t>
  </si>
  <si>
    <t>pro=</t>
  </si>
  <si>
    <t>?</t>
  </si>
  <si>
    <t>??????</t>
  </si>
  <si>
    <t>R=0</t>
  </si>
  <si>
    <t>Jerzy Kabaciński</t>
  </si>
  <si>
    <t>W0=</t>
  </si>
  <si>
    <t>Wa=</t>
  </si>
  <si>
    <t>Wb=</t>
  </si>
  <si>
    <t>Wc=</t>
  </si>
  <si>
    <t>A=</t>
  </si>
  <si>
    <t>BB=</t>
  </si>
  <si>
    <t>C=</t>
  </si>
  <si>
    <t>rufa</t>
  </si>
  <si>
    <t>mids=</t>
  </si>
  <si>
    <t>dziób=</t>
  </si>
  <si>
    <t>PD</t>
  </si>
  <si>
    <t>RURA</t>
  </si>
  <si>
    <t>Rufa_zb=</t>
  </si>
  <si>
    <t>Dt=</t>
  </si>
  <si>
    <t>3,4,5,6</t>
  </si>
  <si>
    <t>TANK</t>
  </si>
  <si>
    <t>Kolumna</t>
  </si>
  <si>
    <t>trym</t>
  </si>
  <si>
    <t>1=</t>
  </si>
  <si>
    <t>1-d=</t>
  </si>
  <si>
    <t>1-r</t>
  </si>
  <si>
    <t>PR=</t>
  </si>
  <si>
    <t>Współ=</t>
  </si>
  <si>
    <t>Vs=</t>
  </si>
  <si>
    <t>X1=</t>
  </si>
  <si>
    <t>Xr=</t>
  </si>
  <si>
    <t>Vt=</t>
  </si>
  <si>
    <r>
      <t>h</t>
    </r>
    <r>
      <rPr>
        <b/>
        <vertAlign val="subscript"/>
        <sz val="10"/>
        <color indexed="9"/>
        <rFont val="Arial"/>
        <family val="0"/>
      </rPr>
      <t>prz</t>
    </r>
  </si>
  <si>
    <t>Maritime Exsperts Association</t>
  </si>
  <si>
    <t>Poland - Szczecin</t>
  </si>
  <si>
    <t>LBP=</t>
  </si>
  <si>
    <t>Lenght between perpendiculars</t>
  </si>
  <si>
    <t>Bredth</t>
  </si>
  <si>
    <t>Draught on fore perpendiculare</t>
  </si>
  <si>
    <t>Draught on aft perpendicular</t>
  </si>
  <si>
    <t>Draught amiddship starboare side</t>
  </si>
  <si>
    <t>Draught amiddship port side</t>
  </si>
  <si>
    <r>
      <t>T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</si>
  <si>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</si>
  <si>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>SB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</si>
  <si>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>PS</t>
    </r>
    <r>
      <rPr>
        <b/>
        <sz val="10"/>
        <rFont val="Arial"/>
        <family val="2"/>
      </rPr>
      <t>=</t>
    </r>
  </si>
  <si>
    <t xml:space="preserve">  VESSEL DATA</t>
  </si>
  <si>
    <t>Distance of after bulkhead of the tank to AP</t>
  </si>
  <si>
    <t xml:space="preserve"> </t>
  </si>
  <si>
    <t>Tank lenght</t>
  </si>
  <si>
    <t>Tank hight (double bottom part)</t>
  </si>
  <si>
    <t>Tank hight at the outer side</t>
  </si>
  <si>
    <t>Radius of the bilge</t>
  </si>
  <si>
    <t>Distance of the soundint pipe from the after bulkhead</t>
  </si>
  <si>
    <t>Distance of the sounding pipe from the inner bulkhead</t>
  </si>
  <si>
    <t>Tank sounding level</t>
  </si>
  <si>
    <t>Tank bredth at the bottom</t>
  </si>
  <si>
    <t>Tank hight at the begining of the turn of the bilge</t>
  </si>
  <si>
    <t>Deflection  (hoh -, sag +)           =</t>
  </si>
  <si>
    <t xml:space="preserve"> Trim between perpendiculars     = </t>
  </si>
  <si>
    <t>Local trim at the tank CG          =</t>
  </si>
  <si>
    <t>Appropriat corrected tank sounding for a vessel on even keel, not listed and not deflected</t>
  </si>
  <si>
    <t>Determining of Corrected Liquide Lefel in Bottom Tank of a Deflected Listed and Trimmed Vessel</t>
  </si>
  <si>
    <t>from the inner bulkhead (ys).</t>
  </si>
  <si>
    <t>s</t>
  </si>
  <si>
    <t xml:space="preserve"> Port tank (p)/ starbord tank (s)=</t>
  </si>
  <si>
    <t>shape as presented on the drawing below. It is assumed that the sounding pipe in the tank is vertical.</t>
  </si>
  <si>
    <r>
      <t>b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=</t>
    </r>
  </si>
  <si>
    <r>
      <t>l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=</t>
    </r>
  </si>
  <si>
    <t>Corrected tank liquide level in a tank on a vessel with trim, list and deflection</t>
  </si>
  <si>
    <t xml:space="preserve">  1) declare the tank as starboard and give the distance from the port bulkhead'</t>
  </si>
  <si>
    <t xml:space="preserve">  2) declare the tank as port (p) and give the transferse distance from the starboard bulkhead.</t>
  </si>
  <si>
    <t>This program serves to determine corrected liquid level in a bottom tank in parallel middle body of a deflected vessel with trim and list.</t>
  </si>
  <si>
    <t>To perform the calculations, tank dimentions should be introduced. The discribed tank must be of a steady cross section and</t>
  </si>
  <si>
    <t>The position of the sounding pipe in the tank is given by its longitudinal distance from the after bulkhead (ls) and its transverse distance</t>
  </si>
  <si>
    <t xml:space="preserve">If this calculations refer to central tank then two gays exist to declare the transverse distance of the sounding pipe: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</si>
</sst>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000000"/>
    <numFmt numFmtId="166" formatCode="0.0000"/>
    <numFmt numFmtId="167" formatCode="0.0000000"/>
    <numFmt numFmtId="168" formatCode="0.00000"/>
    <numFmt numFmtId="169" formatCode="0.00000000"/>
    <numFmt numFmtId="170" formatCode="0.0"/>
    <numFmt numFmtId="171" formatCode="0.000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4.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6"/>
      <color indexed="9"/>
      <name val="Arial"/>
      <family val="0"/>
    </font>
    <font>
      <b/>
      <vertAlign val="subscript"/>
      <sz val="10"/>
      <color indexed="9"/>
      <name val="Arial"/>
      <family val="0"/>
    </font>
    <font>
      <b/>
      <vertAlign val="sub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/>
      <protection/>
    </xf>
    <xf numFmtId="2" fontId="2" fillId="3" borderId="3" xfId="0" applyNumberFormat="1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 horizontal="right"/>
      <protection/>
    </xf>
    <xf numFmtId="0" fontId="2" fillId="4" borderId="6" xfId="0" applyFont="1" applyFill="1" applyBorder="1" applyAlignment="1" applyProtection="1">
      <alignment horizontal="right"/>
      <protection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ill="1" applyBorder="1" applyAlignment="1" applyProtection="1">
      <alignment/>
      <protection/>
    </xf>
    <xf numFmtId="164" fontId="2" fillId="3" borderId="7" xfId="0" applyNumberFormat="1" applyFont="1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8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2" fillId="4" borderId="6" xfId="0" applyFont="1" applyFill="1" applyBorder="1" applyAlignment="1" applyProtection="1">
      <alignment/>
      <protection/>
    </xf>
    <xf numFmtId="0" fontId="2" fillId="4" borderId="4" xfId="0" applyFont="1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2" fillId="4" borderId="8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164" fontId="2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168" fontId="2" fillId="4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8" fontId="2" fillId="2" borderId="7" xfId="0" applyNumberFormat="1" applyFont="1" applyFill="1" applyBorder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164" fontId="6" fillId="4" borderId="0" xfId="0" applyNumberFormat="1" applyFont="1" applyFill="1" applyBorder="1" applyAlignment="1" applyProtection="1">
      <alignment horizontal="center"/>
      <protection/>
    </xf>
    <xf numFmtId="164" fontId="6" fillId="4" borderId="0" xfId="0" applyNumberFormat="1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 hidden="1"/>
    </xf>
    <xf numFmtId="171" fontId="3" fillId="0" borderId="0" xfId="0" applyNumberFormat="1" applyFont="1" applyAlignment="1" applyProtection="1">
      <alignment/>
      <protection hidden="1"/>
    </xf>
    <xf numFmtId="0" fontId="3" fillId="5" borderId="8" xfId="0" applyFont="1" applyFill="1" applyBorder="1" applyAlignment="1" applyProtection="1">
      <alignment/>
      <protection hidden="1"/>
    </xf>
    <xf numFmtId="0" fontId="3" fillId="5" borderId="11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166" fontId="4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0" fontId="3" fillId="5" borderId="12" xfId="0" applyFont="1" applyFill="1" applyBorder="1" applyAlignment="1" applyProtection="1">
      <alignment/>
      <protection hidden="1"/>
    </xf>
    <xf numFmtId="0" fontId="3" fillId="5" borderId="9" xfId="0" applyFont="1" applyFill="1" applyBorder="1" applyAlignment="1" applyProtection="1">
      <alignment/>
      <protection hidden="1"/>
    </xf>
    <xf numFmtId="0" fontId="3" fillId="5" borderId="10" xfId="0" applyFont="1" applyFill="1" applyBorder="1" applyAlignment="1" applyProtection="1">
      <alignment/>
      <protection hidden="1"/>
    </xf>
    <xf numFmtId="0" fontId="3" fillId="5" borderId="5" xfId="0" applyFont="1" applyFill="1" applyBorder="1" applyAlignment="1" applyProtection="1">
      <alignment/>
      <protection hidden="1"/>
    </xf>
    <xf numFmtId="164" fontId="3" fillId="5" borderId="0" xfId="0" applyNumberFormat="1" applyFont="1" applyFill="1" applyBorder="1" applyAlignment="1" applyProtection="1">
      <alignment/>
      <protection hidden="1"/>
    </xf>
    <xf numFmtId="0" fontId="4" fillId="5" borderId="5" xfId="0" applyFont="1" applyFill="1" applyBorder="1" applyAlignment="1" applyProtection="1">
      <alignment horizontal="right"/>
      <protection hidden="1"/>
    </xf>
    <xf numFmtId="0" fontId="3" fillId="5" borderId="0" xfId="0" applyFont="1" applyFill="1" applyBorder="1" applyAlignment="1" applyProtection="1">
      <alignment/>
      <protection hidden="1"/>
    </xf>
    <xf numFmtId="0" fontId="3" fillId="5" borderId="6" xfId="0" applyFont="1" applyFill="1" applyBorder="1" applyAlignment="1" applyProtection="1">
      <alignment/>
      <protection hidden="1"/>
    </xf>
    <xf numFmtId="0" fontId="3" fillId="5" borderId="4" xfId="0" applyFont="1" applyFill="1" applyBorder="1" applyAlignment="1" applyProtection="1">
      <alignment/>
      <protection hidden="1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center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2" fontId="4" fillId="0" borderId="5" xfId="0" applyNumberFormat="1" applyFont="1" applyFill="1" applyBorder="1" applyAlignment="1" applyProtection="1">
      <alignment horizontal="center"/>
      <protection hidden="1"/>
    </xf>
    <xf numFmtId="2" fontId="3" fillId="0" borderId="17" xfId="0" applyNumberFormat="1" applyFont="1" applyFill="1" applyBorder="1" applyAlignment="1" applyProtection="1">
      <alignment horizontal="center"/>
      <protection hidden="1"/>
    </xf>
    <xf numFmtId="2" fontId="3" fillId="0" borderId="3" xfId="0" applyNumberFormat="1" applyFont="1" applyFill="1" applyBorder="1" applyAlignment="1" applyProtection="1">
      <alignment horizontal="center"/>
      <protection hidden="1"/>
    </xf>
    <xf numFmtId="2" fontId="3" fillId="0" borderId="18" xfId="0" applyNumberFormat="1" applyFont="1" applyFill="1" applyBorder="1" applyAlignment="1" applyProtection="1">
      <alignment horizontal="center"/>
      <protection hidden="1"/>
    </xf>
    <xf numFmtId="164" fontId="3" fillId="0" borderId="12" xfId="0" applyNumberFormat="1" applyFont="1" applyBorder="1" applyAlignment="1" applyProtection="1">
      <alignment horizontal="center"/>
      <protection hidden="1"/>
    </xf>
    <xf numFmtId="164" fontId="3" fillId="0" borderId="19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71" fontId="4" fillId="0" borderId="0" xfId="0" applyNumberFormat="1" applyFont="1" applyBorder="1" applyAlignment="1" applyProtection="1">
      <alignment horizontal="center"/>
      <protection hidden="1"/>
    </xf>
    <xf numFmtId="171" fontId="3" fillId="0" borderId="0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2" fontId="3" fillId="0" borderId="3" xfId="0" applyNumberFormat="1" applyFont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164" fontId="3" fillId="0" borderId="5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164" fontId="3" fillId="0" borderId="8" xfId="0" applyNumberFormat="1" applyFont="1" applyBorder="1" applyAlignment="1" applyProtection="1">
      <alignment horizontal="center"/>
      <protection hidden="1"/>
    </xf>
    <xf numFmtId="2" fontId="4" fillId="0" borderId="21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168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 horizontal="center"/>
      <protection hidden="1"/>
    </xf>
    <xf numFmtId="2" fontId="3" fillId="0" borderId="23" xfId="0" applyNumberFormat="1" applyFont="1" applyBorder="1" applyAlignment="1" applyProtection="1">
      <alignment horizontal="center"/>
      <protection hidden="1"/>
    </xf>
    <xf numFmtId="2" fontId="3" fillId="0" borderId="24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167" fontId="3" fillId="0" borderId="0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0" fontId="0" fillId="4" borderId="0" xfId="0" applyFont="1" applyFill="1" applyAlignment="1">
      <alignment/>
    </xf>
    <xf numFmtId="164" fontId="2" fillId="2" borderId="2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6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3" fillId="4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center"/>
      <protection/>
    </xf>
    <xf numFmtId="0" fontId="2" fillId="6" borderId="13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8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3" fillId="4" borderId="0" xfId="0" applyFont="1" applyFill="1" applyAlignment="1" applyProtection="1">
      <alignment/>
      <protection/>
    </xf>
    <xf numFmtId="2" fontId="2" fillId="3" borderId="7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Tank cross section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8525"/>
          <c:w val="0.95525"/>
          <c:h val="0.697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and result'!$K$6:$K$36</c:f>
              <c:numCache/>
            </c:numRef>
          </c:xVal>
          <c:yVal>
            <c:numRef>
              <c:f>'Data and result'!$L$6:$L$36</c:f>
              <c:numCache/>
            </c:numRef>
          </c:yVal>
          <c:smooth val="0"/>
        </c:ser>
        <c:axId val="21258176"/>
        <c:axId val="48777153"/>
      </c:scatterChart>
      <c:valAx>
        <c:axId val="21258176"/>
        <c:scaling>
          <c:orientation val="minMax"/>
          <c:max val="14"/>
          <c:min val="-1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77153"/>
        <c:crosses val="autoZero"/>
        <c:crossBetween val="midCat"/>
        <c:dispUnits/>
        <c:majorUnit val="2"/>
      </c:valAx>
      <c:valAx>
        <c:axId val="48777153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5817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Wetted area of cross sections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Calculation!$BH$5:$BH$105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Calculation!$BI$5:$BI$105</c:f>
              <c:numCache>
                <c:ptCount val="101"/>
                <c:pt idx="0">
                  <c:v>0.27603213712807434</c:v>
                </c:pt>
                <c:pt idx="1">
                  <c:v>0.264493951209319</c:v>
                </c:pt>
                <c:pt idx="2">
                  <c:v>0.2529417359966081</c:v>
                </c:pt>
                <c:pt idx="3">
                  <c:v>0.24137637533959627</c:v>
                </c:pt>
                <c:pt idx="4">
                  <c:v>0.2297988773954016</c:v>
                </c:pt>
                <c:pt idx="5">
                  <c:v>0.21821040886422238</c:v>
                </c:pt>
                <c:pt idx="6">
                  <c:v>0.20661234429906122</c:v>
                </c:pt>
                <c:pt idx="7">
                  <c:v>0.19500634033618586</c:v>
                </c:pt>
                <c:pt idx="8">
                  <c:v>0.18339445396522192</c:v>
                </c:pt>
                <c:pt idx="9">
                  <c:v>0.17177934580550788</c:v>
                </c:pt>
                <c:pt idx="10">
                  <c:v>0.16016466903311374</c:v>
                </c:pt>
                <c:pt idx="11">
                  <c:v>0.1485559480240776</c:v>
                </c:pt>
                <c:pt idx="12">
                  <c:v>0.13696328111535527</c:v>
                </c:pt>
                <c:pt idx="13">
                  <c:v>0.1254376023849318</c:v>
                </c:pt>
                <c:pt idx="14">
                  <c:v>0.11430369755551596</c:v>
                </c:pt>
                <c:pt idx="15">
                  <c:v>0.10366088177575171</c:v>
                </c:pt>
                <c:pt idx="16">
                  <c:v>0.09351310066758324</c:v>
                </c:pt>
                <c:pt idx="17">
                  <c:v>0.08386430983281044</c:v>
                </c:pt>
                <c:pt idx="18">
                  <c:v>0.07471847485305166</c:v>
                </c:pt>
                <c:pt idx="19">
                  <c:v>0.06607957128977902</c:v>
                </c:pt>
                <c:pt idx="20">
                  <c:v>0.057951584684284956</c:v>
                </c:pt>
                <c:pt idx="21">
                  <c:v>0.05033851055771045</c:v>
                </c:pt>
                <c:pt idx="22">
                  <c:v>0.04324435441103212</c:v>
                </c:pt>
                <c:pt idx="23">
                  <c:v>0.0366731317250536</c:v>
                </c:pt>
                <c:pt idx="24">
                  <c:v>0.03062886796042751</c:v>
                </c:pt>
                <c:pt idx="25">
                  <c:v>0.025115598557631656</c:v>
                </c:pt>
                <c:pt idx="26">
                  <c:v>0.02013736893698871</c:v>
                </c:pt>
                <c:pt idx="27">
                  <c:v>0.01569823449865696</c:v>
                </c:pt>
                <c:pt idx="28">
                  <c:v>0.01180226062262543</c:v>
                </c:pt>
                <c:pt idx="29">
                  <c:v>0.008453522668725818</c:v>
                </c:pt>
                <c:pt idx="30">
                  <c:v>0.005656105976625402</c:v>
                </c:pt>
                <c:pt idx="31">
                  <c:v>0.0034141058658244505</c:v>
                </c:pt>
                <c:pt idx="32">
                  <c:v>0.001731627635663661</c:v>
                </c:pt>
                <c:pt idx="33">
                  <c:v>0.0006127865653193157</c:v>
                </c:pt>
                <c:pt idx="34">
                  <c:v>6.170791380292665E-05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axId val="33763362"/>
        <c:axId val="53820643"/>
      </c:lineChart>
      <c:catAx>
        <c:axId val="3376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cross section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20643"/>
        <c:crosses val="autoZero"/>
        <c:auto val="1"/>
        <c:lblOffset val="100"/>
        <c:tickLblSkip val="10"/>
        <c:tickMarkSkip val="10"/>
        <c:noMultiLvlLbl val="0"/>
      </c:catAx>
      <c:valAx>
        <c:axId val="5382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33763362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5</xdr:row>
      <xdr:rowOff>9525</xdr:rowOff>
    </xdr:from>
    <xdr:to>
      <xdr:col>15</xdr:col>
      <xdr:colOff>95250</xdr:colOff>
      <xdr:row>18</xdr:row>
      <xdr:rowOff>9525</xdr:rowOff>
    </xdr:to>
    <xdr:graphicFrame>
      <xdr:nvGraphicFramePr>
        <xdr:cNvPr id="1" name="Chart 9"/>
        <xdr:cNvGraphicFramePr/>
      </xdr:nvGraphicFramePr>
      <xdr:xfrm>
        <a:off x="5600700" y="923925"/>
        <a:ext cx="43529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18</xdr:row>
      <xdr:rowOff>76200</xdr:rowOff>
    </xdr:from>
    <xdr:to>
      <xdr:col>16</xdr:col>
      <xdr:colOff>504825</xdr:colOff>
      <xdr:row>38</xdr:row>
      <xdr:rowOff>152400</xdr:rowOff>
    </xdr:to>
    <xdr:graphicFrame>
      <xdr:nvGraphicFramePr>
        <xdr:cNvPr id="2" name="Chart 12"/>
        <xdr:cNvGraphicFramePr/>
      </xdr:nvGraphicFramePr>
      <xdr:xfrm>
        <a:off x="5610225" y="2705100"/>
        <a:ext cx="53625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K28" sqref="K28"/>
    </sheetView>
  </sheetViews>
  <sheetFormatPr defaultColWidth="9.140625" defaultRowHeight="12.75"/>
  <sheetData>
    <row r="1" spans="1:22" ht="12.75">
      <c r="A1" s="6" t="s">
        <v>58</v>
      </c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6" t="s">
        <v>87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6" t="s">
        <v>88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14" t="s">
        <v>116</v>
      </c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14"/>
      <c r="B6" s="14"/>
      <c r="C6" s="14"/>
      <c r="D6" s="14"/>
      <c r="E6" s="14"/>
      <c r="F6" s="14"/>
      <c r="G6" s="14"/>
      <c r="H6" s="14"/>
      <c r="I6" s="14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127" t="s">
        <v>126</v>
      </c>
      <c r="B7" s="6"/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2.75">
      <c r="A8" s="127" t="s">
        <v>127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2.75">
      <c r="A9" s="127" t="s">
        <v>120</v>
      </c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.75">
      <c r="A10" s="6" t="s">
        <v>128</v>
      </c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>
      <c r="A11" s="6" t="s">
        <v>117</v>
      </c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.75">
      <c r="A12" s="6" t="s">
        <v>129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2.75">
      <c r="A13" s="6" t="s">
        <v>124</v>
      </c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2.75">
      <c r="A14" s="6" t="s">
        <v>125</v>
      </c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>
      <c r="A17" s="6"/>
      <c r="I17" s="6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2.75">
      <c r="A18" s="6"/>
      <c r="I18" s="6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2.75">
      <c r="A19" s="6"/>
      <c r="I19" s="6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6"/>
      <c r="I20" s="6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>
      <c r="A21" s="6"/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 s="6"/>
      <c r="I22" s="6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 s="6"/>
      <c r="I23" s="6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75">
      <c r="A24" s="6"/>
      <c r="I24" s="6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 s="6"/>
      <c r="I25" s="6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6"/>
      <c r="I26" s="6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 s="6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6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>
      <c r="A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6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6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6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6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6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6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6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6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6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6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6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6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6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6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6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1:22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1:22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1:22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1:22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1:22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1:22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1:22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1:22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1:22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1:22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1:22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1:22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1:22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1:22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1:22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1:22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1:22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</sheetData>
  <sheetProtection password="F96B" sheet="1" objects="1" scenarios="1"/>
  <printOptions/>
  <pageMargins left="0.75" right="0.75" top="1" bottom="1" header="0.5" footer="0.5"/>
  <pageSetup horizontalDpi="300" verticalDpi="300" orientation="portrait" paperSize="9" r:id="rId3"/>
  <legacyDrawing r:id="rId2"/>
  <oleObjects>
    <oleObject progId="CorelDRAW.Graphic.13" shapeId="628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95"/>
  <sheetViews>
    <sheetView tabSelected="1" workbookViewId="0" topLeftCell="A1">
      <selection activeCell="C42" sqref="C42"/>
    </sheetView>
  </sheetViews>
  <sheetFormatPr defaultColWidth="9.140625" defaultRowHeight="12.75"/>
  <cols>
    <col min="3" max="3" width="9.7109375" style="0" customWidth="1"/>
    <col min="10" max="10" width="9.7109375" style="0" bestFit="1" customWidth="1"/>
    <col min="12" max="12" width="12.421875" style="0" bestFit="1" customWidth="1"/>
    <col min="13" max="13" width="12.140625" style="0" bestFit="1" customWidth="1"/>
    <col min="15" max="15" width="12.421875" style="0" bestFit="1" customWidth="1"/>
  </cols>
  <sheetData>
    <row r="1" spans="1:23" ht="12.75">
      <c r="A1" s="6"/>
      <c r="B1" s="6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.75">
      <c r="A2" s="6"/>
      <c r="B2" s="6" t="s">
        <v>87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2.75">
      <c r="B3" s="6" t="s">
        <v>88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8" ht="18">
      <c r="A4" s="25"/>
      <c r="B4" s="167" t="s">
        <v>123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.75" thickBot="1">
      <c r="A5" s="25"/>
      <c r="B5" s="25"/>
      <c r="C5" s="25"/>
      <c r="D5" s="25"/>
      <c r="E5" s="26"/>
      <c r="F5" s="25"/>
      <c r="G5" s="25"/>
      <c r="H5" s="25"/>
      <c r="I5" s="25"/>
      <c r="J5" s="140"/>
      <c r="K5" s="141"/>
      <c r="L5" s="141"/>
      <c r="M5" s="27"/>
      <c r="N5" s="27"/>
      <c r="O5" s="27"/>
      <c r="P5" s="27"/>
      <c r="Q5" s="27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.75">
      <c r="A6" s="25"/>
      <c r="B6" s="161" t="s">
        <v>100</v>
      </c>
      <c r="C6" s="162"/>
      <c r="D6" s="28"/>
      <c r="E6" s="28"/>
      <c r="F6" s="28"/>
      <c r="G6" s="28"/>
      <c r="H6" s="28"/>
      <c r="I6" s="29"/>
      <c r="J6" s="142">
        <v>0</v>
      </c>
      <c r="K6" s="142">
        <f>IF(E$23="p",J6,-J6)</f>
        <v>0</v>
      </c>
      <c r="L6" s="142">
        <v>0</v>
      </c>
      <c r="M6" s="27"/>
      <c r="N6" s="27"/>
      <c r="O6" s="27"/>
      <c r="P6" s="27"/>
      <c r="Q6" s="27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5"/>
      <c r="B7" s="10"/>
      <c r="C7" s="8"/>
      <c r="D7" s="8"/>
      <c r="E7" s="8"/>
      <c r="F7" s="8"/>
      <c r="G7" s="8"/>
      <c r="H7" s="8"/>
      <c r="I7" s="30"/>
      <c r="J7" s="142">
        <f>bz</f>
        <v>6</v>
      </c>
      <c r="K7" s="142">
        <f aca="true" t="shared" si="0" ref="K7:K33">IF(E$23="s",J7,-J7)</f>
        <v>6</v>
      </c>
      <c r="L7" s="142">
        <v>0</v>
      </c>
      <c r="M7" s="27"/>
      <c r="N7" s="27"/>
      <c r="O7" s="27"/>
      <c r="P7" s="27"/>
      <c r="Q7" s="27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2.75">
      <c r="A8" s="25"/>
      <c r="B8" s="11" t="s">
        <v>89</v>
      </c>
      <c r="C8" s="4">
        <v>110</v>
      </c>
      <c r="D8" s="8" t="s">
        <v>6</v>
      </c>
      <c r="E8" s="150" t="s">
        <v>90</v>
      </c>
      <c r="F8" s="150"/>
      <c r="G8" s="150"/>
      <c r="H8" s="150"/>
      <c r="I8" s="151"/>
      <c r="J8" s="142">
        <f aca="true" t="shared" si="1" ref="J8:J23">ROUND((J7+R/20),4)</f>
        <v>6.05</v>
      </c>
      <c r="K8" s="142">
        <f t="shared" si="0"/>
        <v>6.05</v>
      </c>
      <c r="L8" s="142">
        <f aca="true" t="shared" si="2" ref="L8:L23">IF(R=0,(h),R-(((R^2-(ROUND(J$7-J8,4)^2))^0.5)))</f>
        <v>0.0012507822280910519</v>
      </c>
      <c r="M8" s="27"/>
      <c r="N8" s="27"/>
      <c r="O8" s="27"/>
      <c r="P8" s="27"/>
      <c r="Q8" s="27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5.25" customHeight="1">
      <c r="A9" s="25"/>
      <c r="B9" s="11"/>
      <c r="C9" s="31"/>
      <c r="D9" s="8"/>
      <c r="E9" s="8"/>
      <c r="F9" s="8"/>
      <c r="G9" s="8"/>
      <c r="H9" s="8"/>
      <c r="I9" s="30"/>
      <c r="J9" s="142">
        <f t="shared" si="1"/>
        <v>6.1</v>
      </c>
      <c r="K9" s="142">
        <f t="shared" si="0"/>
        <v>6.1</v>
      </c>
      <c r="L9" s="142">
        <f t="shared" si="2"/>
        <v>0.005012562893380035</v>
      </c>
      <c r="M9" s="27"/>
      <c r="N9" s="27"/>
      <c r="O9" s="27"/>
      <c r="P9" s="27"/>
      <c r="Q9" s="27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2.75">
      <c r="A10" s="25"/>
      <c r="B10" s="11" t="s">
        <v>0</v>
      </c>
      <c r="C10" s="4">
        <v>14</v>
      </c>
      <c r="D10" s="8" t="s">
        <v>6</v>
      </c>
      <c r="E10" s="150" t="s">
        <v>91</v>
      </c>
      <c r="F10" s="150"/>
      <c r="G10" s="150"/>
      <c r="H10" s="150"/>
      <c r="I10" s="151"/>
      <c r="J10" s="142">
        <f t="shared" si="1"/>
        <v>6.15</v>
      </c>
      <c r="K10" s="142">
        <f t="shared" si="0"/>
        <v>6.15</v>
      </c>
      <c r="L10" s="142">
        <f t="shared" si="2"/>
        <v>0.011314003335740508</v>
      </c>
      <c r="M10" s="27"/>
      <c r="N10" s="27"/>
      <c r="O10" s="27"/>
      <c r="P10" s="27"/>
      <c r="Q10" s="2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4.5" customHeight="1">
      <c r="A11" s="25"/>
      <c r="B11" s="11"/>
      <c r="C11" s="31"/>
      <c r="D11" s="8"/>
      <c r="E11" s="8"/>
      <c r="F11" s="8"/>
      <c r="G11" s="8"/>
      <c r="H11" s="8"/>
      <c r="I11" s="30"/>
      <c r="J11" s="142">
        <f t="shared" si="1"/>
        <v>6.2</v>
      </c>
      <c r="K11" s="142">
        <f t="shared" si="0"/>
        <v>6.2</v>
      </c>
      <c r="L11" s="142">
        <f t="shared" si="2"/>
        <v>0.020204102886728803</v>
      </c>
      <c r="M11" s="27"/>
      <c r="N11" s="27"/>
      <c r="O11" s="27"/>
      <c r="P11" s="27"/>
      <c r="Q11" s="2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4.25">
      <c r="A12" s="25"/>
      <c r="B12" s="11" t="s">
        <v>96</v>
      </c>
      <c r="C12" s="4">
        <v>5.5</v>
      </c>
      <c r="D12" s="8" t="s">
        <v>6</v>
      </c>
      <c r="E12" s="150" t="s">
        <v>92</v>
      </c>
      <c r="F12" s="150"/>
      <c r="G12" s="150"/>
      <c r="H12" s="150"/>
      <c r="I12" s="151"/>
      <c r="J12" s="142">
        <f t="shared" si="1"/>
        <v>6.25</v>
      </c>
      <c r="K12" s="142">
        <f t="shared" si="0"/>
        <v>6.25</v>
      </c>
      <c r="L12" s="142">
        <f t="shared" si="2"/>
        <v>0.031754163448145745</v>
      </c>
      <c r="M12" s="27"/>
      <c r="N12" s="27"/>
      <c r="O12" s="27"/>
      <c r="P12" s="27"/>
      <c r="Q12" s="2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5.25" customHeight="1">
      <c r="A13" s="25"/>
      <c r="B13" s="11"/>
      <c r="C13" s="31"/>
      <c r="D13" s="8"/>
      <c r="E13" s="8"/>
      <c r="F13" s="8"/>
      <c r="G13" s="8"/>
      <c r="H13" s="8"/>
      <c r="I13" s="30"/>
      <c r="J13" s="142">
        <f t="shared" si="1"/>
        <v>6.3</v>
      </c>
      <c r="K13" s="142">
        <f t="shared" si="0"/>
        <v>6.3</v>
      </c>
      <c r="L13" s="142">
        <f t="shared" si="2"/>
        <v>0.04606079858305434</v>
      </c>
      <c r="M13" s="27"/>
      <c r="N13" s="27"/>
      <c r="O13" s="27"/>
      <c r="P13" s="27"/>
      <c r="Q13" s="2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4.25">
      <c r="A14" s="25"/>
      <c r="B14" s="11" t="s">
        <v>97</v>
      </c>
      <c r="C14" s="4">
        <v>6.2</v>
      </c>
      <c r="D14" s="8" t="s">
        <v>6</v>
      </c>
      <c r="E14" s="150" t="s">
        <v>93</v>
      </c>
      <c r="F14" s="150"/>
      <c r="G14" s="150"/>
      <c r="H14" s="150"/>
      <c r="I14" s="151"/>
      <c r="J14" s="142">
        <f t="shared" si="1"/>
        <v>6.35</v>
      </c>
      <c r="K14" s="142">
        <f t="shared" si="0"/>
        <v>6.35</v>
      </c>
      <c r="L14" s="142">
        <f t="shared" si="2"/>
        <v>0.06325030024024025</v>
      </c>
      <c r="M14" s="27"/>
      <c r="N14" s="27"/>
      <c r="O14" s="27"/>
      <c r="P14" s="27"/>
      <c r="Q14" s="2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6.75" customHeight="1">
      <c r="A15" s="25"/>
      <c r="B15" s="11"/>
      <c r="C15" s="31"/>
      <c r="D15" s="8"/>
      <c r="E15" s="8"/>
      <c r="F15" s="8"/>
      <c r="G15" s="8"/>
      <c r="H15" s="8"/>
      <c r="I15" s="30"/>
      <c r="J15" s="142">
        <f t="shared" si="1"/>
        <v>6.4</v>
      </c>
      <c r="K15" s="142">
        <f t="shared" si="0"/>
        <v>6.4</v>
      </c>
      <c r="L15" s="142">
        <f t="shared" si="2"/>
        <v>0.08348486100883201</v>
      </c>
      <c r="M15" s="27"/>
      <c r="N15" s="27"/>
      <c r="O15" s="27"/>
      <c r="P15" s="27"/>
      <c r="Q15" s="2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4.25">
      <c r="A16" s="25"/>
      <c r="B16" s="11" t="s">
        <v>98</v>
      </c>
      <c r="C16" s="4">
        <v>6</v>
      </c>
      <c r="D16" s="8" t="s">
        <v>6</v>
      </c>
      <c r="E16" s="150" t="s">
        <v>94</v>
      </c>
      <c r="F16" s="150"/>
      <c r="G16" s="150"/>
      <c r="H16" s="150"/>
      <c r="I16" s="151"/>
      <c r="J16" s="142">
        <f t="shared" si="1"/>
        <v>6.45</v>
      </c>
      <c r="K16" s="142">
        <f t="shared" si="0"/>
        <v>6.45</v>
      </c>
      <c r="L16" s="142">
        <f t="shared" si="2"/>
        <v>0.10697144502541245</v>
      </c>
      <c r="M16" s="27"/>
      <c r="N16" s="27"/>
      <c r="O16" s="27"/>
      <c r="P16" s="27"/>
      <c r="Q16" s="2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5.25" customHeight="1">
      <c r="A17" s="25"/>
      <c r="B17" s="11"/>
      <c r="C17" s="31"/>
      <c r="D17" s="8"/>
      <c r="E17" s="8"/>
      <c r="F17" s="8"/>
      <c r="G17" s="8"/>
      <c r="H17" s="8"/>
      <c r="I17" s="30"/>
      <c r="J17" s="142">
        <f t="shared" si="1"/>
        <v>6.5</v>
      </c>
      <c r="K17" s="142">
        <f t="shared" si="0"/>
        <v>6.5</v>
      </c>
      <c r="L17" s="142">
        <f t="shared" si="2"/>
        <v>0.1339745962155614</v>
      </c>
      <c r="M17" s="27"/>
      <c r="N17" s="27"/>
      <c r="O17" s="27"/>
      <c r="P17" s="27"/>
      <c r="Q17" s="2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4.25">
      <c r="A18" s="25"/>
      <c r="B18" s="11" t="s">
        <v>99</v>
      </c>
      <c r="C18" s="4">
        <v>6.1</v>
      </c>
      <c r="D18" s="8" t="s">
        <v>6</v>
      </c>
      <c r="E18" s="150" t="s">
        <v>95</v>
      </c>
      <c r="F18" s="150"/>
      <c r="G18" s="150"/>
      <c r="H18" s="150"/>
      <c r="I18" s="151"/>
      <c r="J18" s="142">
        <f t="shared" si="1"/>
        <v>6.55</v>
      </c>
      <c r="K18" s="142">
        <f t="shared" si="0"/>
        <v>6.55</v>
      </c>
      <c r="L18" s="142">
        <f t="shared" si="2"/>
        <v>0.16483534557549673</v>
      </c>
      <c r="M18" s="27"/>
      <c r="N18" s="27"/>
      <c r="O18" s="27"/>
      <c r="P18" s="27"/>
      <c r="Q18" s="2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3.5" customHeight="1" thickBot="1">
      <c r="A19" s="25"/>
      <c r="B19" s="32"/>
      <c r="C19" s="33"/>
      <c r="D19" s="9"/>
      <c r="E19" s="9"/>
      <c r="F19" s="9"/>
      <c r="G19" s="9"/>
      <c r="H19" s="9"/>
      <c r="I19" s="34"/>
      <c r="J19" s="142">
        <f t="shared" si="1"/>
        <v>6.6</v>
      </c>
      <c r="K19" s="142">
        <f t="shared" si="0"/>
        <v>6.6</v>
      </c>
      <c r="L19" s="142">
        <f t="shared" si="2"/>
        <v>0.19999999999999996</v>
      </c>
      <c r="M19" s="46"/>
      <c r="N19" s="25"/>
      <c r="O19" s="25"/>
      <c r="P19" s="25"/>
      <c r="Q19" s="2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3.5" thickBot="1">
      <c r="A20" s="25"/>
      <c r="B20" s="25"/>
      <c r="C20" s="25"/>
      <c r="D20" s="25"/>
      <c r="E20" s="25"/>
      <c r="F20" s="25"/>
      <c r="G20" s="25"/>
      <c r="H20" s="25"/>
      <c r="I20" s="25"/>
      <c r="J20" s="142">
        <f t="shared" si="1"/>
        <v>6.65</v>
      </c>
      <c r="K20" s="142">
        <f t="shared" si="0"/>
        <v>6.65</v>
      </c>
      <c r="L20" s="142">
        <f t="shared" si="2"/>
        <v>0.24006579232146685</v>
      </c>
      <c r="M20" s="46"/>
      <c r="N20" s="25"/>
      <c r="O20" s="25"/>
      <c r="P20" s="25"/>
      <c r="Q20" s="2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>
      <c r="A21" s="25"/>
      <c r="B21" s="161" t="s">
        <v>1</v>
      </c>
      <c r="C21" s="162"/>
      <c r="D21" s="28"/>
      <c r="E21" s="28"/>
      <c r="F21" s="28"/>
      <c r="G21" s="28"/>
      <c r="H21" s="28"/>
      <c r="I21" s="29"/>
      <c r="J21" s="142">
        <f t="shared" si="1"/>
        <v>6.7</v>
      </c>
      <c r="K21" s="142">
        <f t="shared" si="0"/>
        <v>6.7</v>
      </c>
      <c r="L21" s="142">
        <f t="shared" si="2"/>
        <v>0.285857157145715</v>
      </c>
      <c r="M21" s="46"/>
      <c r="N21" s="25"/>
      <c r="O21" s="25"/>
      <c r="P21" s="25"/>
      <c r="Q21" s="2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7.5" customHeight="1" thickBot="1">
      <c r="A22" s="25"/>
      <c r="B22" s="10"/>
      <c r="C22" s="8"/>
      <c r="D22" s="8"/>
      <c r="E22" s="8"/>
      <c r="F22" s="8"/>
      <c r="G22" s="8"/>
      <c r="H22" s="8"/>
      <c r="I22" s="30"/>
      <c r="J22" s="142">
        <f t="shared" si="1"/>
        <v>6.75</v>
      </c>
      <c r="K22" s="142">
        <f t="shared" si="0"/>
        <v>6.75</v>
      </c>
      <c r="L22" s="142">
        <f t="shared" si="2"/>
        <v>0.3385621722338523</v>
      </c>
      <c r="M22" s="46"/>
      <c r="N22" s="25"/>
      <c r="O22" s="25"/>
      <c r="P22" s="25"/>
      <c r="Q22" s="2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3.5" thickBot="1">
      <c r="A23" s="25"/>
      <c r="B23" s="10" t="s">
        <v>119</v>
      </c>
      <c r="C23" s="8"/>
      <c r="D23" s="8"/>
      <c r="E23" s="5" t="s">
        <v>118</v>
      </c>
      <c r="F23" s="159" t="str">
        <f>IF(E23="s","Tank on starboard","Tank on port side")</f>
        <v>Tank on starboard</v>
      </c>
      <c r="G23" s="159"/>
      <c r="H23" s="160"/>
      <c r="I23" s="30"/>
      <c r="J23" s="142">
        <f t="shared" si="1"/>
        <v>6.8</v>
      </c>
      <c r="K23" s="142">
        <f t="shared" si="0"/>
        <v>6.8</v>
      </c>
      <c r="L23" s="142">
        <f t="shared" si="2"/>
        <v>0.40000000000000013</v>
      </c>
      <c r="M23" s="46"/>
      <c r="N23" s="25"/>
      <c r="O23" s="25"/>
      <c r="P23" s="25"/>
      <c r="Q23" s="25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3.5" thickBot="1">
      <c r="A24" s="25"/>
      <c r="B24" s="10"/>
      <c r="C24" s="8"/>
      <c r="D24" s="8"/>
      <c r="E24" s="22"/>
      <c r="F24" s="22"/>
      <c r="G24" s="22"/>
      <c r="H24" s="22"/>
      <c r="I24" s="30"/>
      <c r="J24" s="142">
        <f>ROUND((J23+R/20),4)</f>
        <v>6.85</v>
      </c>
      <c r="K24" s="142">
        <f t="shared" si="0"/>
        <v>6.85</v>
      </c>
      <c r="L24" s="142">
        <f>IF(R=0,(h),R-(((R^2-(ROUND(J$7-J24,4)^2))^0.5)))</f>
        <v>0.473217312357363</v>
      </c>
      <c r="M24" s="46"/>
      <c r="N24" s="25"/>
      <c r="O24" s="25"/>
      <c r="P24" s="25"/>
      <c r="Q24" s="2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3.5" thickBot="1">
      <c r="A25" s="25"/>
      <c r="B25" s="11" t="s">
        <v>84</v>
      </c>
      <c r="C25" s="168">
        <v>80</v>
      </c>
      <c r="D25" s="8"/>
      <c r="E25" s="35" t="s">
        <v>101</v>
      </c>
      <c r="F25" s="22"/>
      <c r="G25" s="22"/>
      <c r="H25" s="22"/>
      <c r="I25" s="30"/>
      <c r="J25" s="142">
        <f>ROUND((J24+R/20),4)</f>
        <v>6.9</v>
      </c>
      <c r="K25" s="142">
        <f t="shared" si="0"/>
        <v>6.9</v>
      </c>
      <c r="L25" s="142">
        <f>IF(R=0,(h),R-(((R^2-(ROUND(J$7-J25,4)^2))^0.5)))</f>
        <v>0.5641101056459328</v>
      </c>
      <c r="M25" s="46"/>
      <c r="N25" s="25"/>
      <c r="O25" s="25"/>
      <c r="P25" s="25"/>
      <c r="Q25" s="2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6.75" customHeight="1">
      <c r="A26" s="25"/>
      <c r="B26" s="10"/>
      <c r="C26" s="8"/>
      <c r="D26" s="8"/>
      <c r="E26" s="8" t="s">
        <v>102</v>
      </c>
      <c r="F26" s="8"/>
      <c r="G26" s="8"/>
      <c r="H26" s="8"/>
      <c r="I26" s="30"/>
      <c r="J26" s="142">
        <f>ROUND((J25+R/20),4)</f>
        <v>6.95</v>
      </c>
      <c r="K26" s="142">
        <f t="shared" si="0"/>
        <v>6.95</v>
      </c>
      <c r="L26" s="142">
        <f>IF(R=0,(h),R-(((R^2-(ROUND(J$7-J26,4)^2))^0.5)))</f>
        <v>0.6877501000800801</v>
      </c>
      <c r="M26" s="46"/>
      <c r="N26" s="25"/>
      <c r="O26" s="25"/>
      <c r="P26" s="25"/>
      <c r="Q26" s="2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4.25">
      <c r="A27" s="25"/>
      <c r="B27" s="11" t="s">
        <v>122</v>
      </c>
      <c r="C27" s="4">
        <v>19.2</v>
      </c>
      <c r="D27" s="8" t="s">
        <v>6</v>
      </c>
      <c r="E27" s="18" t="s">
        <v>103</v>
      </c>
      <c r="F27" s="18"/>
      <c r="G27" s="18"/>
      <c r="H27" s="18"/>
      <c r="I27" s="36"/>
      <c r="J27" s="142">
        <f>ROUND((J26+R/40),4)</f>
        <v>6.975</v>
      </c>
      <c r="K27" s="142">
        <f t="shared" si="0"/>
        <v>6.975</v>
      </c>
      <c r="L27" s="142">
        <f>IF(R=0,(h),R-(((R^2-(ROUND(J$7-J27,4)^2))^0.5)))</f>
        <v>0.7777951395671101</v>
      </c>
      <c r="M27" s="46"/>
      <c r="N27" s="25"/>
      <c r="O27" s="25"/>
      <c r="P27" s="25"/>
      <c r="Q27" s="2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5.25" customHeight="1">
      <c r="A28" s="25"/>
      <c r="B28" s="11"/>
      <c r="C28" s="31"/>
      <c r="D28" s="8"/>
      <c r="E28" s="23"/>
      <c r="F28" s="23"/>
      <c r="G28" s="23"/>
      <c r="H28" s="23"/>
      <c r="I28" s="24"/>
      <c r="J28" s="142">
        <f>ROUND((J27+R/40),4)</f>
        <v>7</v>
      </c>
      <c r="K28" s="142">
        <f t="shared" si="0"/>
        <v>7</v>
      </c>
      <c r="L28" s="142">
        <f>IF(R=0,(h),R-(((R^2-(ROUND(J$7-J28,4)^2))^0.5)))</f>
        <v>1</v>
      </c>
      <c r="M28" s="46"/>
      <c r="N28" s="25"/>
      <c r="O28" s="25"/>
      <c r="P28" s="25"/>
      <c r="Q28" s="2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4.25">
      <c r="A29" s="25"/>
      <c r="B29" s="11" t="s">
        <v>121</v>
      </c>
      <c r="C29" s="4">
        <v>6</v>
      </c>
      <c r="D29" s="8" t="s">
        <v>6</v>
      </c>
      <c r="E29" s="150" t="s">
        <v>110</v>
      </c>
      <c r="F29" s="150"/>
      <c r="G29" s="150"/>
      <c r="H29" s="150"/>
      <c r="I29" s="151"/>
      <c r="J29" s="142">
        <f>bz+R</f>
        <v>7</v>
      </c>
      <c r="K29" s="142">
        <f t="shared" si="0"/>
        <v>7</v>
      </c>
      <c r="L29" s="142">
        <f>hmx</f>
        <v>1.7</v>
      </c>
      <c r="M29" s="46"/>
      <c r="N29" s="25"/>
      <c r="O29" s="25"/>
      <c r="P29" s="25"/>
      <c r="Q29" s="2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5.25" customHeight="1">
      <c r="A30" s="25"/>
      <c r="B30" s="11"/>
      <c r="C30" s="31"/>
      <c r="D30" s="8"/>
      <c r="E30" s="23"/>
      <c r="F30" s="23"/>
      <c r="G30" s="23"/>
      <c r="H30" s="23"/>
      <c r="I30" s="24"/>
      <c r="J30" s="142">
        <f>bz</f>
        <v>6</v>
      </c>
      <c r="K30" s="142">
        <f t="shared" si="0"/>
        <v>6</v>
      </c>
      <c r="L30" s="142">
        <f>hmw</f>
        <v>1.7</v>
      </c>
      <c r="M30" s="46"/>
      <c r="N30" s="25"/>
      <c r="O30" s="25"/>
      <c r="P30" s="25"/>
      <c r="Q30" s="2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>
      <c r="A31" s="25"/>
      <c r="B31" s="11" t="s">
        <v>2</v>
      </c>
      <c r="C31" s="4">
        <v>1.7</v>
      </c>
      <c r="D31" s="8" t="s">
        <v>6</v>
      </c>
      <c r="E31" s="150" t="s">
        <v>104</v>
      </c>
      <c r="F31" s="150"/>
      <c r="G31" s="150"/>
      <c r="H31" s="150"/>
      <c r="I31" s="151"/>
      <c r="J31" s="142">
        <f>bz</f>
        <v>6</v>
      </c>
      <c r="K31" s="142">
        <f t="shared" si="0"/>
        <v>6</v>
      </c>
      <c r="L31" s="142">
        <f>h</f>
        <v>1.7</v>
      </c>
      <c r="M31" s="46"/>
      <c r="N31" s="25"/>
      <c r="O31" s="25"/>
      <c r="P31" s="25"/>
      <c r="Q31" s="2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5.25" customHeight="1">
      <c r="A32" s="25"/>
      <c r="B32" s="11"/>
      <c r="C32" s="31"/>
      <c r="D32" s="8"/>
      <c r="E32" s="23"/>
      <c r="F32" s="23"/>
      <c r="G32" s="23"/>
      <c r="H32" s="23"/>
      <c r="I32" s="24"/>
      <c r="J32" s="142">
        <f>0</f>
        <v>0</v>
      </c>
      <c r="K32" s="142">
        <f t="shared" si="0"/>
        <v>0</v>
      </c>
      <c r="L32" s="142">
        <f>h</f>
        <v>1.7</v>
      </c>
      <c r="M32" s="46"/>
      <c r="N32" s="25"/>
      <c r="O32" s="25"/>
      <c r="P32" s="25"/>
      <c r="Q32" s="2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2.75">
      <c r="A33" s="25"/>
      <c r="B33" s="11" t="s">
        <v>12</v>
      </c>
      <c r="C33" s="4">
        <v>1.7</v>
      </c>
      <c r="D33" s="8" t="s">
        <v>6</v>
      </c>
      <c r="E33" s="150" t="s">
        <v>105</v>
      </c>
      <c r="F33" s="150"/>
      <c r="G33" s="150"/>
      <c r="H33" s="150"/>
      <c r="I33" s="151"/>
      <c r="J33" s="142">
        <f>0</f>
        <v>0</v>
      </c>
      <c r="K33" s="142">
        <f t="shared" si="0"/>
        <v>0</v>
      </c>
      <c r="L33" s="142">
        <v>0</v>
      </c>
      <c r="M33" s="46"/>
      <c r="N33" s="25"/>
      <c r="O33" s="25"/>
      <c r="P33" s="25"/>
      <c r="Q33" s="2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5.25" customHeight="1">
      <c r="A34" s="25"/>
      <c r="B34" s="11"/>
      <c r="C34" s="31"/>
      <c r="D34" s="8"/>
      <c r="E34" s="23"/>
      <c r="F34" s="23"/>
      <c r="G34" s="23"/>
      <c r="H34" s="23"/>
      <c r="I34" s="24"/>
      <c r="J34" s="140"/>
      <c r="K34" s="140"/>
      <c r="L34" s="140"/>
      <c r="M34" s="46"/>
      <c r="N34" s="25"/>
      <c r="O34" s="25"/>
      <c r="P34" s="25"/>
      <c r="Q34" s="2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>
      <c r="A35" s="25"/>
      <c r="B35" s="11" t="s">
        <v>31</v>
      </c>
      <c r="C35" s="4">
        <v>1.7</v>
      </c>
      <c r="D35" s="8" t="s">
        <v>6</v>
      </c>
      <c r="E35" s="150" t="s">
        <v>111</v>
      </c>
      <c r="F35" s="150"/>
      <c r="G35" s="150"/>
      <c r="H35" s="150"/>
      <c r="I35" s="151"/>
      <c r="J35" s="140"/>
      <c r="K35" s="140"/>
      <c r="L35" s="140"/>
      <c r="M35" s="46"/>
      <c r="N35" s="25"/>
      <c r="O35" s="25"/>
      <c r="P35" s="25"/>
      <c r="Q35" s="25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5.25" customHeight="1">
      <c r="A36" s="25"/>
      <c r="B36" s="11"/>
      <c r="C36" s="31"/>
      <c r="D36" s="8"/>
      <c r="E36" s="23"/>
      <c r="F36" s="23"/>
      <c r="G36" s="23"/>
      <c r="H36" s="23"/>
      <c r="I36" s="24"/>
      <c r="J36" s="37"/>
      <c r="K36" s="37"/>
      <c r="L36" s="37"/>
      <c r="M36" s="27"/>
      <c r="N36" s="25"/>
      <c r="O36" s="25"/>
      <c r="P36" s="25"/>
      <c r="Q36" s="2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2.75">
      <c r="A37" s="25"/>
      <c r="B37" s="11" t="s">
        <v>3</v>
      </c>
      <c r="C37" s="4">
        <v>1</v>
      </c>
      <c r="D37" s="8" t="s">
        <v>6</v>
      </c>
      <c r="E37" s="150" t="s">
        <v>106</v>
      </c>
      <c r="F37" s="150"/>
      <c r="G37" s="150"/>
      <c r="H37" s="150"/>
      <c r="I37" s="151"/>
      <c r="J37" s="158"/>
      <c r="K37" s="158"/>
      <c r="L37" s="158"/>
      <c r="M37" s="38"/>
      <c r="N37" s="39"/>
      <c r="O37" s="25"/>
      <c r="P37" s="25"/>
      <c r="Q37" s="2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5.25" customHeight="1">
      <c r="A38" s="25"/>
      <c r="B38" s="11"/>
      <c r="C38" s="31"/>
      <c r="D38" s="8"/>
      <c r="E38" s="23"/>
      <c r="F38" s="23"/>
      <c r="G38" s="23"/>
      <c r="H38" s="23"/>
      <c r="I38" s="24"/>
      <c r="J38" s="40"/>
      <c r="K38" s="40"/>
      <c r="L38" s="40"/>
      <c r="M38" s="27"/>
      <c r="N38" s="25"/>
      <c r="O38" s="25"/>
      <c r="P38" s="25"/>
      <c r="Q38" s="2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>
      <c r="A39" s="25"/>
      <c r="B39" s="11" t="s">
        <v>4</v>
      </c>
      <c r="C39" s="4">
        <v>1</v>
      </c>
      <c r="D39" s="8" t="s">
        <v>6</v>
      </c>
      <c r="E39" s="150" t="s">
        <v>107</v>
      </c>
      <c r="F39" s="150"/>
      <c r="G39" s="150"/>
      <c r="H39" s="150"/>
      <c r="I39" s="151"/>
      <c r="J39" s="155"/>
      <c r="K39" s="155"/>
      <c r="L39" s="155"/>
      <c r="M39" s="41"/>
      <c r="N39" s="42"/>
      <c r="O39" s="25"/>
      <c r="P39" s="25"/>
      <c r="Q39" s="2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4.5" customHeight="1" thickBot="1">
      <c r="A40" s="25"/>
      <c r="B40" s="11"/>
      <c r="C40" s="31"/>
      <c r="D40" s="8"/>
      <c r="E40" s="23"/>
      <c r="F40" s="23"/>
      <c r="G40" s="23"/>
      <c r="H40" s="23"/>
      <c r="I40" s="24"/>
      <c r="J40" s="25"/>
      <c r="K40" s="25"/>
      <c r="L40" s="25"/>
      <c r="M40" s="25"/>
      <c r="N40" s="25"/>
      <c r="O40" s="25"/>
      <c r="P40" s="25"/>
      <c r="Q40" s="2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3.5" thickBot="1">
      <c r="A41" s="25"/>
      <c r="B41" s="11" t="s">
        <v>5</v>
      </c>
      <c r="C41" s="4">
        <v>1</v>
      </c>
      <c r="D41" s="8" t="s">
        <v>6</v>
      </c>
      <c r="E41" s="150" t="s">
        <v>108</v>
      </c>
      <c r="F41" s="150"/>
      <c r="G41" s="150"/>
      <c r="H41" s="150"/>
      <c r="I41" s="151"/>
      <c r="J41" s="152" t="s">
        <v>114</v>
      </c>
      <c r="K41" s="152"/>
      <c r="L41" s="153"/>
      <c r="M41" s="43">
        <f>Calculation!C53</f>
        <v>-1.2032727272727253</v>
      </c>
      <c r="N41" s="39" t="s">
        <v>6</v>
      </c>
      <c r="O41" s="25"/>
      <c r="P41" s="25"/>
      <c r="Q41" s="2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5.25" customHeight="1" thickBot="1">
      <c r="A42" s="25"/>
      <c r="B42" s="11"/>
      <c r="C42" s="31"/>
      <c r="D42" s="8"/>
      <c r="E42" s="23"/>
      <c r="F42" s="23"/>
      <c r="G42" s="23"/>
      <c r="H42" s="23"/>
      <c r="I42" s="24"/>
      <c r="J42" s="8"/>
      <c r="K42" s="8"/>
      <c r="L42" s="8"/>
      <c r="M42" s="8"/>
      <c r="N42" s="25"/>
      <c r="O42" s="25"/>
      <c r="P42" s="25"/>
      <c r="Q42" s="2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3.5" thickBot="1">
      <c r="A43" s="25"/>
      <c r="B43" s="12" t="s">
        <v>7</v>
      </c>
      <c r="C43" s="19">
        <v>0.05</v>
      </c>
      <c r="D43" s="9" t="s">
        <v>6</v>
      </c>
      <c r="E43" s="156" t="s">
        <v>109</v>
      </c>
      <c r="F43" s="156"/>
      <c r="G43" s="156"/>
      <c r="H43" s="156"/>
      <c r="I43" s="157"/>
      <c r="J43" s="152" t="s">
        <v>113</v>
      </c>
      <c r="K43" s="152"/>
      <c r="L43" s="153"/>
      <c r="M43" s="43">
        <f>(-1)*Calculation!C44</f>
        <v>-0.7000000000000002</v>
      </c>
      <c r="N43" s="39" t="s">
        <v>6</v>
      </c>
      <c r="O43" s="25"/>
      <c r="P43" s="25"/>
      <c r="Q43" s="2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5.25" customHeight="1" thickBot="1">
      <c r="A44" s="25"/>
      <c r="B44" s="25"/>
      <c r="C44" s="44"/>
      <c r="D44" s="25"/>
      <c r="E44" s="25"/>
      <c r="F44" s="25"/>
      <c r="G44" s="25"/>
      <c r="H44" s="25"/>
      <c r="I44" s="42"/>
      <c r="J44" s="45"/>
      <c r="K44" s="45"/>
      <c r="L44" s="45"/>
      <c r="M44" s="8"/>
      <c r="N44" s="25"/>
      <c r="O44" s="25"/>
      <c r="P44" s="25"/>
      <c r="Q44" s="2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" customHeight="1" thickBot="1">
      <c r="A45" s="25"/>
      <c r="B45" s="147" t="str">
        <f>IF(s=0,"Volume of liquide out of range may reach volume appropriate to sounding:","   ")</f>
        <v>   </v>
      </c>
      <c r="C45" s="148"/>
      <c r="D45" s="148"/>
      <c r="E45" s="148"/>
      <c r="F45" s="148"/>
      <c r="G45" s="148"/>
      <c r="H45" s="148"/>
      <c r="I45" s="149"/>
      <c r="J45" s="154" t="s">
        <v>112</v>
      </c>
      <c r="K45" s="152"/>
      <c r="L45" s="153"/>
      <c r="M45" s="43">
        <f>Calculation!C46</f>
        <v>0.20000000000000018</v>
      </c>
      <c r="N45" s="39" t="s">
        <v>6</v>
      </c>
      <c r="O45" s="25"/>
      <c r="P45" s="25"/>
      <c r="Q45" s="25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5.25" customHeight="1" thickBot="1">
      <c r="A46" s="25"/>
      <c r="B46" s="25"/>
      <c r="C46" s="25"/>
      <c r="D46" s="25"/>
      <c r="E46" s="25"/>
      <c r="F46" s="25"/>
      <c r="G46" s="25"/>
      <c r="H46" s="25"/>
      <c r="I46" s="25"/>
      <c r="J46" s="45"/>
      <c r="K46" s="45"/>
      <c r="L46" s="45"/>
      <c r="M46" s="8"/>
      <c r="N46" s="25"/>
      <c r="O46" s="25"/>
      <c r="P46" s="25"/>
      <c r="Q46" s="2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3.5" thickBot="1">
      <c r="A47" s="25"/>
      <c r="B47" s="2" t="s">
        <v>8</v>
      </c>
      <c r="C47" s="128">
        <f>ROUND(Calculation!CJ56,3)</f>
        <v>0.006</v>
      </c>
      <c r="D47" s="3" t="s">
        <v>6</v>
      </c>
      <c r="E47" s="144" t="s">
        <v>115</v>
      </c>
      <c r="F47" s="145"/>
      <c r="G47" s="145"/>
      <c r="H47" s="145"/>
      <c r="I47" s="145"/>
      <c r="J47" s="145"/>
      <c r="K47" s="145"/>
      <c r="L47" s="145"/>
      <c r="M47" s="146"/>
      <c r="N47" s="25"/>
      <c r="O47" s="25"/>
      <c r="P47" s="25"/>
      <c r="Q47" s="25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2.75">
      <c r="A48" s="46"/>
      <c r="B48" s="46"/>
      <c r="C48" s="46"/>
      <c r="D48" s="46"/>
      <c r="E48" s="46"/>
      <c r="F48" s="46"/>
      <c r="G48" s="46"/>
      <c r="H48" s="25"/>
      <c r="I48" s="25"/>
      <c r="J48" s="45"/>
      <c r="K48" s="45"/>
      <c r="L48" s="45"/>
      <c r="M48" s="8"/>
      <c r="N48" s="25"/>
      <c r="O48" s="25"/>
      <c r="P48" s="25"/>
      <c r="Q48" s="25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6"/>
      <c r="B49" s="46"/>
      <c r="C49" s="46"/>
      <c r="D49" s="46"/>
      <c r="E49" s="46"/>
      <c r="F49" s="46"/>
      <c r="G49" s="46"/>
      <c r="H49" s="25"/>
      <c r="I49" s="25"/>
      <c r="J49" s="45"/>
      <c r="K49" s="45"/>
      <c r="L49" s="45"/>
      <c r="M49" s="8"/>
      <c r="N49" s="25"/>
      <c r="O49" s="25"/>
      <c r="P49" s="25"/>
      <c r="Q49" s="2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.75">
      <c r="A50" s="46"/>
      <c r="B50" s="46"/>
      <c r="C50" s="46"/>
      <c r="D50" s="46"/>
      <c r="E50" s="46"/>
      <c r="F50" s="46"/>
      <c r="G50" s="46"/>
      <c r="H50" s="25"/>
      <c r="I50" s="25"/>
      <c r="J50" s="45"/>
      <c r="K50" s="45"/>
      <c r="L50" s="47"/>
      <c r="M50" s="48"/>
      <c r="N50" s="25"/>
      <c r="O50" s="25"/>
      <c r="P50" s="25"/>
      <c r="Q50" s="2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2.75">
      <c r="A51" s="46"/>
      <c r="B51" s="143">
        <f>IF(Nr&gt;=0,0,0)</f>
        <v>0</v>
      </c>
      <c r="C51" s="46"/>
      <c r="D51" s="46"/>
      <c r="E51" s="46"/>
      <c r="F51" s="46"/>
      <c r="G51" s="46"/>
      <c r="H51" s="25"/>
      <c r="I51" s="25"/>
      <c r="J51" s="45"/>
      <c r="K51" s="45"/>
      <c r="L51" s="45"/>
      <c r="M51" s="8"/>
      <c r="N51" s="25"/>
      <c r="O51" s="25"/>
      <c r="P51" s="25"/>
      <c r="Q51" s="25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.75">
      <c r="A52" s="46"/>
      <c r="B52" s="46"/>
      <c r="C52" s="46"/>
      <c r="D52" s="46"/>
      <c r="E52" s="46"/>
      <c r="F52" s="46"/>
      <c r="G52" s="46"/>
      <c r="H52" s="25"/>
      <c r="I52" s="25"/>
      <c r="J52" s="45"/>
      <c r="K52" s="45"/>
      <c r="L52" s="49"/>
      <c r="M52" s="48"/>
      <c r="N52" s="25"/>
      <c r="O52" s="25"/>
      <c r="P52" s="25"/>
      <c r="Q52" s="2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>
      <c r="A53" s="46"/>
      <c r="B53" s="46"/>
      <c r="C53" s="46"/>
      <c r="D53" s="46"/>
      <c r="E53" s="46"/>
      <c r="F53" s="46"/>
      <c r="G53" s="46"/>
      <c r="H53" s="25"/>
      <c r="I53" s="25"/>
      <c r="J53" s="45"/>
      <c r="K53" s="45"/>
      <c r="L53" s="45"/>
      <c r="M53" s="8"/>
      <c r="N53" s="25"/>
      <c r="O53" s="25"/>
      <c r="P53" s="25"/>
      <c r="Q53" s="25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>
      <c r="A54" s="46"/>
      <c r="B54" s="46"/>
      <c r="C54" s="46"/>
      <c r="D54" s="46"/>
      <c r="E54" s="46"/>
      <c r="F54" s="46"/>
      <c r="G54" s="46"/>
      <c r="H54" s="25"/>
      <c r="I54" s="25"/>
      <c r="J54" s="45"/>
      <c r="K54" s="45"/>
      <c r="L54" s="45"/>
      <c r="M54" s="8"/>
      <c r="N54" s="25"/>
      <c r="O54" s="25"/>
      <c r="P54" s="25"/>
      <c r="Q54" s="25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46"/>
      <c r="B55" s="46"/>
      <c r="C55" s="46"/>
      <c r="D55" s="46"/>
      <c r="E55" s="46"/>
      <c r="F55" s="46"/>
      <c r="G55" s="46"/>
      <c r="H55" s="25"/>
      <c r="I55" s="25"/>
      <c r="J55" s="45"/>
      <c r="K55" s="45"/>
      <c r="L55" s="45"/>
      <c r="M55" s="8"/>
      <c r="N55" s="25"/>
      <c r="O55" s="25"/>
      <c r="P55" s="25"/>
      <c r="Q55" s="25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>
      <c r="A56" s="46"/>
      <c r="B56" s="46"/>
      <c r="C56" s="46"/>
      <c r="D56" s="46"/>
      <c r="E56" s="46"/>
      <c r="F56" s="46"/>
      <c r="G56" s="46"/>
      <c r="H56" s="25"/>
      <c r="I56" s="25"/>
      <c r="J56" s="45"/>
      <c r="K56" s="45"/>
      <c r="L56" s="45"/>
      <c r="M56" s="8"/>
      <c r="N56" s="25"/>
      <c r="O56" s="25"/>
      <c r="P56" s="25"/>
      <c r="Q56" s="25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2.75">
      <c r="A57" s="46"/>
      <c r="B57" s="46"/>
      <c r="C57" s="46"/>
      <c r="D57" s="46"/>
      <c r="E57" s="46"/>
      <c r="F57" s="46"/>
      <c r="G57" s="46"/>
      <c r="H57" s="25"/>
      <c r="I57" s="25"/>
      <c r="J57" s="45"/>
      <c r="K57" s="45"/>
      <c r="L57" s="45"/>
      <c r="M57" s="8"/>
      <c r="N57" s="25"/>
      <c r="O57" s="25"/>
      <c r="P57" s="25"/>
      <c r="Q57" s="25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2.75">
      <c r="A58" s="46"/>
      <c r="B58" s="46"/>
      <c r="C58" s="46"/>
      <c r="D58" s="46"/>
      <c r="E58" s="46"/>
      <c r="F58" s="46"/>
      <c r="G58" s="46"/>
      <c r="H58" s="25"/>
      <c r="I58" s="25"/>
      <c r="J58" s="45"/>
      <c r="K58" s="45"/>
      <c r="L58" s="45"/>
      <c r="M58" s="8"/>
      <c r="N58" s="25"/>
      <c r="O58" s="25"/>
      <c r="P58" s="25"/>
      <c r="Q58" s="25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2.75">
      <c r="A59" s="46"/>
      <c r="B59" s="46"/>
      <c r="C59" s="46"/>
      <c r="D59" s="46"/>
      <c r="E59" s="46"/>
      <c r="F59" s="46"/>
      <c r="G59" s="46"/>
      <c r="H59" s="25"/>
      <c r="I59" s="25"/>
      <c r="J59" s="45"/>
      <c r="K59" s="45"/>
      <c r="L59" s="45"/>
      <c r="M59" s="8"/>
      <c r="N59" s="25"/>
      <c r="O59" s="25"/>
      <c r="P59" s="25"/>
      <c r="Q59" s="2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2.75">
      <c r="A60" s="46"/>
      <c r="B60" s="46"/>
      <c r="C60" s="46"/>
      <c r="D60" s="46"/>
      <c r="E60" s="46"/>
      <c r="F60" s="46"/>
      <c r="G60" s="46"/>
      <c r="H60" s="25"/>
      <c r="I60" s="25"/>
      <c r="J60" s="45"/>
      <c r="K60" s="45"/>
      <c r="L60" s="45"/>
      <c r="M60" s="8"/>
      <c r="N60" s="25"/>
      <c r="O60" s="25"/>
      <c r="P60" s="25"/>
      <c r="Q60" s="2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2.75">
      <c r="A61" s="46"/>
      <c r="B61" s="46"/>
      <c r="C61" s="46"/>
      <c r="D61" s="46"/>
      <c r="E61" s="46"/>
      <c r="F61" s="46"/>
      <c r="G61" s="46"/>
      <c r="H61" s="25"/>
      <c r="I61" s="25"/>
      <c r="J61" s="50"/>
      <c r="K61" s="50"/>
      <c r="L61" s="50"/>
      <c r="M61" s="25"/>
      <c r="N61" s="25"/>
      <c r="O61" s="25"/>
      <c r="P61" s="25"/>
      <c r="Q61" s="2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2.75">
      <c r="A62" s="46"/>
      <c r="B62" s="46"/>
      <c r="C62" s="46"/>
      <c r="D62" s="46"/>
      <c r="E62" s="46"/>
      <c r="F62" s="46"/>
      <c r="G62" s="46"/>
      <c r="H62" s="25"/>
      <c r="I62" s="25"/>
      <c r="J62" s="50"/>
      <c r="K62" s="50"/>
      <c r="L62" s="50"/>
      <c r="M62" s="25"/>
      <c r="N62" s="25"/>
      <c r="O62" s="25"/>
      <c r="P62" s="25"/>
      <c r="Q62" s="2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2.75">
      <c r="A63" s="46"/>
      <c r="B63" s="46"/>
      <c r="C63" s="46"/>
      <c r="D63" s="46"/>
      <c r="E63" s="46"/>
      <c r="F63" s="46"/>
      <c r="G63" s="46"/>
      <c r="H63" s="25"/>
      <c r="I63" s="25"/>
      <c r="J63" s="50"/>
      <c r="K63" s="50"/>
      <c r="L63" s="50"/>
      <c r="M63" s="25"/>
      <c r="N63" s="25"/>
      <c r="O63" s="25"/>
      <c r="P63" s="25"/>
      <c r="Q63" s="2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.75">
      <c r="A64" s="46"/>
      <c r="B64" s="46"/>
      <c r="C64" s="46"/>
      <c r="D64" s="46"/>
      <c r="E64" s="46"/>
      <c r="F64" s="46"/>
      <c r="G64" s="46"/>
      <c r="H64" s="25"/>
      <c r="I64" s="25"/>
      <c r="J64" s="50"/>
      <c r="K64" s="50"/>
      <c r="L64" s="50"/>
      <c r="M64" s="25"/>
      <c r="N64" s="25"/>
      <c r="O64" s="25"/>
      <c r="P64" s="25"/>
      <c r="Q64" s="25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2.75">
      <c r="A65" s="20"/>
      <c r="B65" s="20"/>
      <c r="C65" s="20"/>
      <c r="D65" s="20"/>
      <c r="E65" s="20"/>
      <c r="F65" s="20"/>
      <c r="G65" s="20"/>
      <c r="H65" s="6"/>
      <c r="I65" s="6"/>
      <c r="J65" s="13"/>
      <c r="K65" s="13"/>
      <c r="L65" s="13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2.75">
      <c r="A66" s="20"/>
      <c r="B66" s="20"/>
      <c r="C66" s="20"/>
      <c r="D66" s="20"/>
      <c r="E66" s="20"/>
      <c r="F66" s="20"/>
      <c r="G66" s="20"/>
      <c r="H66" s="6"/>
      <c r="I66" s="6"/>
      <c r="J66" s="13"/>
      <c r="K66" s="13"/>
      <c r="L66" s="13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2.75">
      <c r="A67" s="6"/>
      <c r="B67" s="6"/>
      <c r="C67" s="6"/>
      <c r="D67" s="6"/>
      <c r="E67" s="6"/>
      <c r="F67" s="6"/>
      <c r="G67" s="6"/>
      <c r="H67" s="6"/>
      <c r="I67" s="6"/>
      <c r="J67" s="13"/>
      <c r="K67" s="13"/>
      <c r="L67" s="13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>
      <c r="A68" s="6"/>
      <c r="B68" s="6"/>
      <c r="C68" s="6"/>
      <c r="D68" s="6"/>
      <c r="E68" s="6"/>
      <c r="F68" s="6"/>
      <c r="G68" s="6"/>
      <c r="H68" s="6"/>
      <c r="I68" s="6"/>
      <c r="J68" s="13"/>
      <c r="K68" s="13"/>
      <c r="L68" s="13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2.75">
      <c r="A69" s="6"/>
      <c r="B69" s="6"/>
      <c r="C69" s="6"/>
      <c r="D69" s="6"/>
      <c r="E69" s="6"/>
      <c r="F69" s="6"/>
      <c r="G69" s="6"/>
      <c r="H69" s="6"/>
      <c r="I69" s="6"/>
      <c r="J69" s="13"/>
      <c r="K69" s="13"/>
      <c r="L69" s="13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2.75">
      <c r="A70" s="6"/>
      <c r="B70" s="6"/>
      <c r="C70" s="6"/>
      <c r="D70" s="6"/>
      <c r="E70" s="6"/>
      <c r="F70" s="6"/>
      <c r="G70" s="6"/>
      <c r="H70" s="6"/>
      <c r="I70" s="6"/>
      <c r="J70" s="13"/>
      <c r="K70" s="13"/>
      <c r="L70" s="13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>
      <c r="A71" s="6"/>
      <c r="B71" s="6"/>
      <c r="C71" s="6"/>
      <c r="D71" s="6"/>
      <c r="E71" s="6"/>
      <c r="F71" s="6"/>
      <c r="G71" s="6"/>
      <c r="H71" s="6"/>
      <c r="I71" s="6"/>
      <c r="J71" s="13"/>
      <c r="K71" s="13"/>
      <c r="L71" s="13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>
      <c r="A72" s="6"/>
      <c r="B72" s="6"/>
      <c r="C72" s="6"/>
      <c r="D72" s="6"/>
      <c r="E72" s="6"/>
      <c r="F72" s="6"/>
      <c r="G72" s="6"/>
      <c r="H72" s="6"/>
      <c r="I72" s="6"/>
      <c r="J72" s="13"/>
      <c r="K72" s="13"/>
      <c r="L72" s="13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6"/>
      <c r="B73" s="6"/>
      <c r="C73" s="6"/>
      <c r="D73" s="6"/>
      <c r="E73" s="6"/>
      <c r="F73" s="6"/>
      <c r="G73" s="6"/>
      <c r="H73" s="6"/>
      <c r="I73" s="6"/>
      <c r="J73" s="13"/>
      <c r="K73" s="13"/>
      <c r="L73" s="13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6"/>
      <c r="B74" s="6"/>
      <c r="C74" s="6"/>
      <c r="D74" s="6"/>
      <c r="E74" s="6"/>
      <c r="F74" s="6"/>
      <c r="G74" s="6"/>
      <c r="H74" s="6"/>
      <c r="I74" s="6"/>
      <c r="J74" s="13"/>
      <c r="K74" s="13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6"/>
      <c r="B75" s="6"/>
      <c r="C75" s="6"/>
      <c r="D75" s="6"/>
      <c r="E75" s="6"/>
      <c r="F75" s="6"/>
      <c r="G75" s="6"/>
      <c r="H75" s="6"/>
      <c r="I75" s="6"/>
      <c r="J75" s="13"/>
      <c r="K75" s="13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6"/>
      <c r="B76" s="6"/>
      <c r="C76" s="6"/>
      <c r="D76" s="6"/>
      <c r="E76" s="6"/>
      <c r="F76" s="6"/>
      <c r="G76" s="6"/>
      <c r="H76" s="6"/>
      <c r="I76" s="6"/>
      <c r="J76" s="13"/>
      <c r="K76" s="13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6"/>
      <c r="B77" s="6"/>
      <c r="C77" s="6"/>
      <c r="D77" s="6"/>
      <c r="E77" s="6"/>
      <c r="F77" s="6"/>
      <c r="G77" s="6"/>
      <c r="H77" s="6"/>
      <c r="I77" s="6"/>
      <c r="J77" s="13"/>
      <c r="K77" s="13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2.75">
      <c r="A78" s="6"/>
      <c r="B78" s="6"/>
      <c r="C78" s="6"/>
      <c r="D78" s="6"/>
      <c r="E78" s="6"/>
      <c r="F78" s="6"/>
      <c r="G78" s="6"/>
      <c r="H78" s="6"/>
      <c r="I78" s="6"/>
      <c r="J78" s="13"/>
      <c r="K78" s="13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9:28" ht="12.75"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8" ht="12.75"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9:28" ht="12.75"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9:28" ht="12.75"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9:28" ht="12.75"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9:28" ht="12.75"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9:28" ht="12.75"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9:28" ht="12.75"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9:28" ht="12.75"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9:28" ht="12.75"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9:28" ht="12.75"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9:28" ht="12.75"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9:28" ht="12.75"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9:28" ht="12.75"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9:28" ht="12.75"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9:28" ht="12.75">
      <c r="S95" s="6"/>
      <c r="T95" s="6"/>
      <c r="U95" s="6"/>
      <c r="V95" s="6"/>
      <c r="W95" s="6"/>
      <c r="X95" s="6"/>
      <c r="Y95" s="6"/>
      <c r="Z95" s="6"/>
      <c r="AA95" s="6"/>
      <c r="AB95" s="6"/>
    </row>
  </sheetData>
  <sheetProtection password="F96B" sheet="1" objects="1" scenarios="1"/>
  <mergeCells count="24">
    <mergeCell ref="E16:I16"/>
    <mergeCell ref="E18:I18"/>
    <mergeCell ref="F23:H23"/>
    <mergeCell ref="E14:I14"/>
    <mergeCell ref="B6:C6"/>
    <mergeCell ref="B21:C21"/>
    <mergeCell ref="J41:L41"/>
    <mergeCell ref="E29:I29"/>
    <mergeCell ref="E8:I8"/>
    <mergeCell ref="E10:I10"/>
    <mergeCell ref="E12:I12"/>
    <mergeCell ref="E31:I31"/>
    <mergeCell ref="E33:I33"/>
    <mergeCell ref="E35:I35"/>
    <mergeCell ref="E47:M47"/>
    <mergeCell ref="B45:I45"/>
    <mergeCell ref="E37:I37"/>
    <mergeCell ref="J43:L43"/>
    <mergeCell ref="J45:L45"/>
    <mergeCell ref="J39:L39"/>
    <mergeCell ref="E39:I39"/>
    <mergeCell ref="E41:I41"/>
    <mergeCell ref="E43:I43"/>
    <mergeCell ref="J37:L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Z159"/>
  <sheetViews>
    <sheetView workbookViewId="0" topLeftCell="A81">
      <selection activeCell="G91" sqref="G91"/>
    </sheetView>
  </sheetViews>
  <sheetFormatPr defaultColWidth="9.140625" defaultRowHeight="12.75"/>
  <cols>
    <col min="2" max="2" width="9.7109375" style="0" bestFit="1" customWidth="1"/>
    <col min="3" max="3" width="13.140625" style="0" bestFit="1" customWidth="1"/>
    <col min="5" max="5" width="9.7109375" style="0" bestFit="1" customWidth="1"/>
    <col min="7" max="7" width="9.7109375" style="0" bestFit="1" customWidth="1"/>
    <col min="8" max="8" width="13.7109375" style="0" bestFit="1" customWidth="1"/>
    <col min="17" max="18" width="16.00390625" style="0" customWidth="1"/>
    <col min="21" max="21" width="9.28125" style="0" bestFit="1" customWidth="1"/>
    <col min="22" max="22" width="5.140625" style="0" customWidth="1"/>
    <col min="24" max="24" width="9.7109375" style="0" bestFit="1" customWidth="1"/>
    <col min="36" max="36" width="9.7109375" style="0" bestFit="1" customWidth="1"/>
    <col min="37" max="37" width="9.8515625" style="0" bestFit="1" customWidth="1"/>
    <col min="39" max="39" width="8.7109375" style="0" customWidth="1"/>
    <col min="40" max="40" width="10.57421875" style="0" bestFit="1" customWidth="1"/>
    <col min="42" max="42" width="9.28125" style="0" bestFit="1" customWidth="1"/>
    <col min="48" max="48" width="9.7109375" style="0" bestFit="1" customWidth="1"/>
    <col min="49" max="50" width="9.28125" style="0" bestFit="1" customWidth="1"/>
    <col min="51" max="55" width="9.28125" style="0" customWidth="1"/>
    <col min="56" max="56" width="9.28125" style="0" bestFit="1" customWidth="1"/>
    <col min="57" max="60" width="9.28125" style="0" customWidth="1"/>
    <col min="61" max="61" width="14.7109375" style="0" customWidth="1"/>
    <col min="62" max="62" width="9.7109375" style="21" bestFit="1" customWidth="1"/>
    <col min="63" max="63" width="9.7109375" style="0" bestFit="1" customWidth="1"/>
    <col min="64" max="64" width="15.140625" style="0" customWidth="1"/>
    <col min="75" max="75" width="9.8515625" style="0" bestFit="1" customWidth="1"/>
    <col min="88" max="88" width="9.7109375" style="0" bestFit="1" customWidth="1"/>
  </cols>
  <sheetData>
    <row r="1" spans="1:208" ht="12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5"/>
      <c r="S1" s="15"/>
      <c r="T1" s="15"/>
      <c r="U1" s="15"/>
      <c r="V1" s="15"/>
      <c r="W1" s="15" t="s">
        <v>72</v>
      </c>
      <c r="X1" s="15">
        <f>(C37-C38)/19.65</f>
        <v>0.010688335120812553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 t="s">
        <v>54</v>
      </c>
      <c r="AJ1" s="72">
        <f>(hmw+hmx-2*R)*R/2</f>
        <v>0.7</v>
      </c>
      <c r="AK1" s="15"/>
      <c r="AL1" s="15"/>
      <c r="AM1" s="15"/>
      <c r="AN1" s="15"/>
      <c r="AO1" s="15" t="s">
        <v>52</v>
      </c>
      <c r="AP1" s="15">
        <f>IF(beta=0,0,-(R-h)^2/TAN(beta)/2)</f>
        <v>0</v>
      </c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51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</row>
    <row r="2" spans="1:208" ht="21" thickBot="1">
      <c r="A2" s="129"/>
      <c r="B2" s="129" t="s">
        <v>9</v>
      </c>
      <c r="C2" s="134">
        <f>(C42-C36)</f>
        <v>-0.7000000000000002</v>
      </c>
      <c r="D2" s="129"/>
      <c r="E2" s="129" t="s">
        <v>10</v>
      </c>
      <c r="F2" s="129">
        <f>IF('Data and result'!E23="s",(Tp-Tl)/B,-(Tp-Tl)/B)</f>
        <v>-0.0071428571428571175</v>
      </c>
      <c r="G2" s="129"/>
      <c r="H2" s="129" t="s">
        <v>11</v>
      </c>
      <c r="I2" s="129">
        <f>lz/100</f>
        <v>0.192</v>
      </c>
      <c r="J2" s="129"/>
      <c r="K2" s="129" t="s">
        <v>13</v>
      </c>
      <c r="L2" s="129">
        <f>hmx/100</f>
        <v>0.017</v>
      </c>
      <c r="M2" s="135" t="s">
        <v>27</v>
      </c>
      <c r="N2" s="129">
        <f>PI()*R^2/4</f>
        <v>0.7853981633974483</v>
      </c>
      <c r="O2" s="129">
        <f>(hmx-hmw)/R</f>
        <v>0</v>
      </c>
      <c r="P2" s="129" t="s">
        <v>29</v>
      </c>
      <c r="Q2" s="132">
        <f>IF(R=0,0,(hmx-hmw)/R)</f>
        <v>0</v>
      </c>
      <c r="R2" s="15" t="s">
        <v>32</v>
      </c>
      <c r="S2" s="15">
        <f>IF(beta=0,0,(R-h)^2/TAN(beta)/2)</f>
        <v>0</v>
      </c>
      <c r="T2" s="15">
        <f>beta*180/PI()</f>
        <v>0</v>
      </c>
      <c r="U2" s="15"/>
      <c r="V2" s="15" t="s">
        <v>30</v>
      </c>
      <c r="W2" s="15">
        <f>IF(beta=0,0,R-(R-h)/TAN(beta))</f>
        <v>0</v>
      </c>
      <c r="X2" s="15">
        <f>D38</f>
        <v>-5.8398512396694215</v>
      </c>
      <c r="Y2" s="15"/>
      <c r="Z2" s="15"/>
      <c r="AA2" s="15" t="s">
        <v>37</v>
      </c>
      <c r="AB2" s="74">
        <f>s-DT*yr-t*lr</f>
        <v>0.7571428571428573</v>
      </c>
      <c r="AC2" s="15"/>
      <c r="AD2" s="15" t="s">
        <v>45</v>
      </c>
      <c r="AE2" s="74">
        <f>S105</f>
        <v>11.685398163397448</v>
      </c>
      <c r="AF2" s="15"/>
      <c r="AG2" s="15">
        <f>AG5*180/PI()</f>
        <v>12.181005885997356</v>
      </c>
      <c r="AH2" s="15"/>
      <c r="AI2" s="15" t="s">
        <v>43</v>
      </c>
      <c r="AJ2" s="15" t="s">
        <v>44</v>
      </c>
      <c r="AK2" s="73" t="s">
        <v>10</v>
      </c>
      <c r="AL2" s="75">
        <f>DT</f>
        <v>-0.0071428571428571175</v>
      </c>
      <c r="AM2" s="15"/>
      <c r="AN2" s="15"/>
      <c r="AO2" s="15"/>
      <c r="AP2" s="15"/>
      <c r="AQ2" s="15"/>
      <c r="AR2" s="15"/>
      <c r="AS2" s="15">
        <f>R*SIN(AG21)</f>
        <v>1</v>
      </c>
      <c r="AT2" s="15"/>
      <c r="AU2" s="15">
        <f>(AF21-AH21)/AL2</f>
        <v>-0.007187541555722402</v>
      </c>
      <c r="AV2" s="15"/>
      <c r="AW2" s="76" t="s">
        <v>55</v>
      </c>
      <c r="AX2" s="15"/>
      <c r="AY2" s="15"/>
      <c r="AZ2" s="15">
        <f>pro</f>
        <v>0.7</v>
      </c>
      <c r="BA2" s="15"/>
      <c r="BB2" s="15"/>
      <c r="BC2" s="55" t="s">
        <v>56</v>
      </c>
      <c r="BD2" s="15"/>
      <c r="BE2" s="15"/>
      <c r="BF2" s="15"/>
      <c r="BG2" s="15"/>
      <c r="BH2" s="15"/>
      <c r="BI2" s="15"/>
      <c r="BJ2" s="51"/>
      <c r="BK2" s="77"/>
      <c r="BL2" s="77"/>
      <c r="BM2" s="15"/>
      <c r="BN2" s="15"/>
      <c r="BO2" s="78" t="s">
        <v>74</v>
      </c>
      <c r="BP2" s="78">
        <v>1.2</v>
      </c>
      <c r="BQ2" s="78" t="s">
        <v>73</v>
      </c>
      <c r="BR2" s="78">
        <v>8</v>
      </c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</row>
    <row r="3" spans="1:208" ht="13.5" thickBot="1">
      <c r="A3" s="136"/>
      <c r="B3" s="129"/>
      <c r="C3" s="129"/>
      <c r="D3" s="129"/>
      <c r="E3" s="129"/>
      <c r="F3" s="129"/>
      <c r="G3" s="129"/>
      <c r="H3" s="137"/>
      <c r="I3" s="129"/>
      <c r="J3" s="129"/>
      <c r="K3" s="129"/>
      <c r="L3" s="129"/>
      <c r="M3" s="129"/>
      <c r="N3" s="129"/>
      <c r="O3" s="129"/>
      <c r="P3" s="129"/>
      <c r="Q3" s="129">
        <f>beta*180/PI()</f>
        <v>0</v>
      </c>
      <c r="R3" s="15">
        <f>DT</f>
        <v>-0.0071428571428571175</v>
      </c>
      <c r="S3" s="15"/>
      <c r="T3" s="15">
        <f>TAN(beta)</f>
        <v>0</v>
      </c>
      <c r="U3" s="15"/>
      <c r="V3" s="15"/>
      <c r="W3" s="15" t="s">
        <v>70</v>
      </c>
      <c r="X3" s="15">
        <f>X2-DT*yr+s</f>
        <v>-5.782708382526565</v>
      </c>
      <c r="Y3" s="15" t="s">
        <v>71</v>
      </c>
      <c r="Z3" s="15"/>
      <c r="AA3" s="80">
        <f>C31</f>
        <v>80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63" t="s">
        <v>49</v>
      </c>
      <c r="AM3" s="164"/>
      <c r="AN3" s="164"/>
      <c r="AO3" s="164"/>
      <c r="AP3" s="164"/>
      <c r="AQ3" s="164"/>
      <c r="AR3" s="164"/>
      <c r="AS3" s="165"/>
      <c r="AT3" s="81"/>
      <c r="AU3" s="15"/>
      <c r="AV3" s="15"/>
      <c r="AW3" s="15"/>
      <c r="AX3" s="15"/>
      <c r="AY3" s="55" t="s">
        <v>56</v>
      </c>
      <c r="AZ3" s="15"/>
      <c r="BA3" s="15"/>
      <c r="BB3" s="15"/>
      <c r="BC3" s="15">
        <f>FF</f>
        <v>11.685398163397448</v>
      </c>
      <c r="BD3" s="15"/>
      <c r="BE3" s="15"/>
      <c r="BF3" s="15"/>
      <c r="BG3" s="15"/>
      <c r="BH3" s="15"/>
      <c r="BI3" s="15"/>
      <c r="BJ3" s="51"/>
      <c r="BK3" s="15"/>
      <c r="BL3" s="82" t="s">
        <v>75</v>
      </c>
      <c r="BM3" s="83">
        <f>IF(Nr=1,2,IF(Nr&lt;=5,3,4))</f>
        <v>3</v>
      </c>
      <c r="BN3" s="15"/>
      <c r="BO3" s="84">
        <v>0</v>
      </c>
      <c r="BP3" s="85">
        <v>1.96</v>
      </c>
      <c r="BQ3" s="86">
        <v>1.96</v>
      </c>
      <c r="BR3" s="87">
        <v>2.15</v>
      </c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</row>
    <row r="4" spans="1:208" ht="15" thickBot="1">
      <c r="A4" s="136"/>
      <c r="B4" s="129"/>
      <c r="C4" s="129"/>
      <c r="D4" s="129"/>
      <c r="E4" s="129"/>
      <c r="F4" s="129"/>
      <c r="G4" s="129" t="s">
        <v>33</v>
      </c>
      <c r="H4" s="133" t="s">
        <v>17</v>
      </c>
      <c r="I4" s="129" t="s">
        <v>18</v>
      </c>
      <c r="J4" s="129" t="s">
        <v>19</v>
      </c>
      <c r="K4" s="129" t="s">
        <v>20</v>
      </c>
      <c r="L4" s="130" t="s">
        <v>21</v>
      </c>
      <c r="M4" s="130" t="s">
        <v>22</v>
      </c>
      <c r="N4" s="130" t="s">
        <v>23</v>
      </c>
      <c r="O4" s="130" t="s">
        <v>24</v>
      </c>
      <c r="P4" s="130" t="s">
        <v>25</v>
      </c>
      <c r="Q4" s="130" t="s">
        <v>28</v>
      </c>
      <c r="R4" s="78"/>
      <c r="S4" s="78" t="s">
        <v>26</v>
      </c>
      <c r="T4" s="89" t="s">
        <v>34</v>
      </c>
      <c r="U4" s="90"/>
      <c r="V4" s="15"/>
      <c r="W4" s="78" t="s">
        <v>35</v>
      </c>
      <c r="X4" s="78"/>
      <c r="Y4" s="91" t="s">
        <v>86</v>
      </c>
      <c r="Z4" s="91"/>
      <c r="AA4" s="91" t="s">
        <v>17</v>
      </c>
      <c r="AB4" s="91" t="s">
        <v>18</v>
      </c>
      <c r="AC4" s="91" t="s">
        <v>19</v>
      </c>
      <c r="AD4" s="79" t="s">
        <v>36</v>
      </c>
      <c r="AE4" s="78" t="s">
        <v>21</v>
      </c>
      <c r="AF4" s="78" t="s">
        <v>22</v>
      </c>
      <c r="AG4" s="78" t="s">
        <v>23</v>
      </c>
      <c r="AH4" s="78" t="s">
        <v>38</v>
      </c>
      <c r="AI4" s="78" t="s">
        <v>42</v>
      </c>
      <c r="AJ4" s="78" t="s">
        <v>39</v>
      </c>
      <c r="AK4" s="78" t="s">
        <v>40</v>
      </c>
      <c r="AL4" s="78" t="s">
        <v>41</v>
      </c>
      <c r="AM4" s="92" t="s">
        <v>47</v>
      </c>
      <c r="AN4" s="91"/>
      <c r="AO4" s="92" t="s">
        <v>48</v>
      </c>
      <c r="AP4" s="91"/>
      <c r="AQ4" s="93"/>
      <c r="AR4" s="91"/>
      <c r="AS4" s="93"/>
      <c r="AT4" s="92" t="s">
        <v>50</v>
      </c>
      <c r="AU4" s="91"/>
      <c r="AV4" s="92" t="s">
        <v>51</v>
      </c>
      <c r="AW4" s="92"/>
      <c r="AX4" s="166" t="s">
        <v>53</v>
      </c>
      <c r="AY4" s="166"/>
      <c r="AZ4" s="166"/>
      <c r="BA4" s="166"/>
      <c r="BB4" s="166"/>
      <c r="BC4" s="166"/>
      <c r="BD4" s="81"/>
      <c r="BE4" s="81"/>
      <c r="BF4" s="1"/>
      <c r="BG4" s="81" t="s">
        <v>57</v>
      </c>
      <c r="BH4" s="81"/>
      <c r="BI4" s="93"/>
      <c r="BJ4" s="94"/>
      <c r="BK4" s="95"/>
      <c r="BL4" s="93"/>
      <c r="BM4" s="81"/>
      <c r="BN4" s="81"/>
      <c r="BO4" s="96">
        <v>0.01</v>
      </c>
      <c r="BP4" s="97">
        <v>2.92</v>
      </c>
      <c r="BQ4" s="98">
        <v>3.16</v>
      </c>
      <c r="BR4" s="99">
        <v>3.35</v>
      </c>
      <c r="BS4" s="91"/>
      <c r="BT4" s="95"/>
      <c r="BU4" s="95"/>
      <c r="BV4" s="95"/>
      <c r="BW4" s="91"/>
      <c r="BX4" s="95"/>
      <c r="BY4" s="95"/>
      <c r="BZ4" s="9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</row>
    <row r="5" spans="1:208" ht="12.75">
      <c r="A5" s="129"/>
      <c r="B5" s="129" t="s">
        <v>14</v>
      </c>
      <c r="C5" s="129">
        <f>1</f>
        <v>1</v>
      </c>
      <c r="D5" s="129"/>
      <c r="E5" s="129"/>
      <c r="F5" s="129">
        <v>0</v>
      </c>
      <c r="G5" s="129">
        <v>0</v>
      </c>
      <c r="H5" s="133">
        <v>1</v>
      </c>
      <c r="I5" s="129">
        <f aca="true" t="shared" si="0" ref="I5:I68">-2*bz</f>
        <v>-12</v>
      </c>
      <c r="J5" s="129">
        <f aca="true" t="shared" si="1" ref="J5:J46">G5^2+bz^2-2*R*G5</f>
        <v>36</v>
      </c>
      <c r="K5" s="129">
        <f>IF((I5^2-4*H5*J5)&gt;=0,(I5^2-4*H5*J5)^0.5,0)</f>
        <v>0</v>
      </c>
      <c r="L5" s="129">
        <f aca="true" t="shared" si="2" ref="L5:L45">IF(G5&gt;=R,(bz+R),(-I5+K5)/(2*H5))</f>
        <v>6</v>
      </c>
      <c r="M5" s="129">
        <f>G5</f>
        <v>0</v>
      </c>
      <c r="N5" s="129">
        <f aca="true" t="shared" si="3" ref="N5:N46">IF(R&gt;0,ACOS((R-G5)/R),0)</f>
        <v>0</v>
      </c>
      <c r="O5" s="129">
        <f aca="true" t="shared" si="4" ref="O5:O36">IF(G5&lt;=R,R^2/2*N5-(R-G5)^2*TAN(N5)/2,N$2)</f>
        <v>0</v>
      </c>
      <c r="P5" s="129">
        <f aca="true" t="shared" si="5" ref="P5:P45">IF(G5&lt;=h,bz*G5,bz*h)</f>
        <v>0</v>
      </c>
      <c r="Q5" s="129">
        <f aca="true" t="shared" si="6" ref="Q5:Q45">IF(AND(G5&gt;h,G5&lt;=R,beta&gt;0),(G5-h)^2/2/TAN(beta),IF(G5&gt;R,tru,0))</f>
        <v>0</v>
      </c>
      <c r="R5" s="15">
        <f aca="true" t="shared" si="7" ref="R5:R36">IF(AND(beta=0,G5&gt;=R,hmx=hmw),R*(G5-R),IF(G5&lt;R,0,(2*db-(G5-R)/beta)*(G5-R)/2))</f>
        <v>0</v>
      </c>
      <c r="S5" s="100">
        <f>O5+P5-Q5+R5</f>
        <v>0</v>
      </c>
      <c r="T5" s="101">
        <f>G5</f>
        <v>0</v>
      </c>
      <c r="U5" s="102">
        <f>S5</f>
        <v>0</v>
      </c>
      <c r="V5" s="15"/>
      <c r="W5" s="88">
        <v>0</v>
      </c>
      <c r="X5" s="88">
        <f>AA$3+W5</f>
        <v>80</v>
      </c>
      <c r="Y5" s="56">
        <f>(X$3-(C$20*X5^2+C$21*X5+C$22))</f>
        <v>0.06687839433293963</v>
      </c>
      <c r="Z5" s="56">
        <f aca="true" t="shared" si="8" ref="Z5:Z36">IF(AND(R=0,Y5&gt;h),h,Y5)</f>
        <v>0.06687839433293963</v>
      </c>
      <c r="AA5" s="15">
        <f aca="true" t="shared" si="9" ref="AA5:AA68">1+DT^2</f>
        <v>1.0000510204081632</v>
      </c>
      <c r="AB5" s="15">
        <f aca="true" t="shared" si="10" ref="AB5:AB36">2*(Y5*DT-R*DT-bz)</f>
        <v>-11.986669691347613</v>
      </c>
      <c r="AC5" s="15">
        <f aca="true" t="shared" si="11" ref="AC5:AC45">Y5^2+bz^2-2*R*Y5</f>
        <v>35.870715930962675</v>
      </c>
      <c r="AD5" s="15">
        <f>IF((AB5^2-4*AA5*AC5)&gt;=0,(AB5^2-4*AA5*AC5)^0.5,0)</f>
        <v>0.43596560798893264</v>
      </c>
      <c r="AE5" s="15">
        <f>(-AB5+AD5)/(2*AA5)</f>
        <v>6.211000761874301</v>
      </c>
      <c r="AF5" s="15">
        <f>Y5+DT*AE5</f>
        <v>0.022514103176694777</v>
      </c>
      <c r="AG5" s="15">
        <f aca="true" t="shared" si="12" ref="AG5:AG36">IF(AND(AF5&gt;0,AF5&lt;=R),ACOS((R-AF5)/R),PI()/2)</f>
        <v>0.21259865891546292</v>
      </c>
      <c r="AH5" s="56">
        <f aca="true" t="shared" si="13" ref="AH5:AH36">Z5+DT*bz</f>
        <v>0.024021251475796923</v>
      </c>
      <c r="AI5" s="15">
        <f aca="true" t="shared" si="14" ref="AI5:AI36">IF(AG5&gt;=PI()/2,N$2,R^2*AG5/2)</f>
        <v>0.10629932945773146</v>
      </c>
      <c r="AJ5" s="15">
        <f aca="true" t="shared" si="15" ref="AJ5:AJ36">IF(AG5&gt;=PI()/2,0,(R-AH5)*(AE5-bz)/2)</f>
        <v>0.10296612975586676</v>
      </c>
      <c r="AK5" s="57">
        <f aca="true" t="shared" si="16" ref="AK5:AK36">IF(AND(AF5&gt;0,AH5&gt;=0),AI5-AJ5,IF(AND(AH5&gt;h,AF5&gt;=R),N$2,0))</f>
        <v>0.0033331997018647003</v>
      </c>
      <c r="AL5" s="57">
        <f aca="true" t="shared" si="17" ref="AL5:AL45">IF(AND(h&lt;=Y5,AH5&gt;=h),h*bz,0)</f>
        <v>0</v>
      </c>
      <c r="AM5" s="58">
        <f aca="true" t="shared" si="18" ref="AM5:AM45">(h-Y5)/DT</f>
        <v>-228.63702479338926</v>
      </c>
      <c r="AN5" s="59">
        <f aca="true" t="shared" si="19" ref="AN5:AN45">IF(AND(Y5&gt;0,Y5&lt;h,AH5&gt;=h),bz*h-(h-Y5)*AM5/2,0)</f>
        <v>0</v>
      </c>
      <c r="AO5" s="60">
        <f aca="true" t="shared" si="20" ref="AO5:AO45">(h-AH5)/DT</f>
        <v>-234.63702479338926</v>
      </c>
      <c r="AP5" s="59">
        <f aca="true" t="shared" si="21" ref="AP5:AP36">IF(AND(Y5&gt;=h,AH5&gt;0,AH5&lt;h),bz*h+(h-AH5)*AO5/2,0)</f>
        <v>0</v>
      </c>
      <c r="AQ5" s="59">
        <f aca="true" t="shared" si="22" ref="AQ5:AQ36">IF(AND(Y5&lt;=0,AH5&gt;0,AH5&lt;h),(AH5^2/DT/2),0)</f>
        <v>0</v>
      </c>
      <c r="AR5" s="61">
        <f aca="true" t="shared" si="23" ref="AR5:AR36">IF(AND(AH5&lt;0,Y5&gt;0,Y5&lt;h),-((Y5)^2/DT/2),0)</f>
        <v>0</v>
      </c>
      <c r="AS5" s="59">
        <f aca="true" t="shared" si="24" ref="AS5:AS36">IF(AND(Y5&gt;0,Y5&lt;h,AH5&gt;=0,AH5&lt;h),(Y5+AH5)/2*bz,0)</f>
        <v>0.27269893742620965</v>
      </c>
      <c r="AT5" s="60">
        <f aca="true" t="shared" si="25" ref="AT5:AT36">IF((bz*beta+Y5-h)/(beta-DT)&gt;bz+R,bz+R,(bz*beta+Y5-h)/(beta-DT))</f>
        <v>-228.63702479338926</v>
      </c>
      <c r="AU5" s="59">
        <f>IF(beta=0,0,IF(AND(AF5&gt;R,AF5&lt;hmx),(hmx-R)^2/beta/2-(hmx-AF5)*(bz+R-AT5)/2,IF(AF5&gt;=hmx,(hmx-R)^2/beta/2,0)))</f>
        <v>0</v>
      </c>
      <c r="AV5" s="60">
        <f aca="true" t="shared" si="26" ref="AV5:AV36">IF((h-bz*beta-Y5)/(DT-beta)&gt;(bz+R),(bz+R),(h-bz*beta-Y5)/(DT-beta))</f>
        <v>-228.63702479338926</v>
      </c>
      <c r="AW5" s="59">
        <f aca="true" t="shared" si="27" ref="AW5:AW36">IF(AF5&gt;=R,-AP$1,IF(OR(AH5&lt;h,beta=0),0,-(AH5-h)*(AV5-bz)/2))</f>
        <v>0</v>
      </c>
      <c r="AX5" s="59">
        <f aca="true" t="shared" si="28" ref="AX5:AX36">IF(BD5,pro,IF(AND(AH5&lt;=hmw,AF5&lt;=hmx,AH5&gt;R,AF5&gt;=R,hmw=hmx),pro-(hmw+hmx-AH5-AF5)/2*R,0))</f>
        <v>0</v>
      </c>
      <c r="AY5" s="59">
        <f aca="true" t="shared" si="29" ref="AY5:AY36">IF(BC5,pro+(hmx-AF5)^2/2/DT,0)</f>
        <v>0</v>
      </c>
      <c r="AZ5" s="59">
        <f aca="true" t="shared" si="30" ref="AZ5:AZ36">IF(BB5,pro-(hmw-AH5)^2/2/DT,0)</f>
        <v>0</v>
      </c>
      <c r="BA5" s="59">
        <f aca="true" t="shared" si="31" ref="BA5:BA36">IF(AND(AH5&lt;R,AF5&gt;R,hmx&gt;R,hmw=hmx),(AF5-R)^2/2/DT,0)</f>
        <v>0</v>
      </c>
      <c r="BB5" s="60" t="b">
        <f aca="true" t="shared" si="32" ref="BB5:BB36">AND(AH5&gt;R,AF5&gt;R,AH5&lt;hmx,AF5&gt;=hmx,hmw=hmx)</f>
        <v>0</v>
      </c>
      <c r="BC5" s="60" t="b">
        <f aca="true" t="shared" si="33" ref="BC5:BC36">AND(AH5&gt;R,AF5&gt;R,AF5&lt;hmx,AH5&gt;=hmw,hmw=hmx)</f>
        <v>0</v>
      </c>
      <c r="BD5" s="15" t="b">
        <f aca="true" t="shared" si="34" ref="BD5:BD36">AND(AH5&gt;hmw,AF5&gt;hmx,hmx&gt;R,hmw&gt;R)</f>
        <v>0</v>
      </c>
      <c r="BE5" s="15">
        <f aca="true" t="shared" si="35" ref="BE5:BE36">IF(AF5&gt;h,h,AF5)</f>
        <v>0.022514103176694777</v>
      </c>
      <c r="BF5" s="103">
        <f aca="true" t="shared" si="36" ref="BF5:BF36">IF(AND(hmx=hmw,R=0,AF5&gt;0,AH5&gt;0),(Z5+BE5)*bz/2,(AR5+AS5))</f>
        <v>0.27269893742620965</v>
      </c>
      <c r="BG5" s="103">
        <f>IF(BF5&gt;0,BF5,0)</f>
        <v>0.27269893742620965</v>
      </c>
      <c r="BH5" s="104">
        <v>0</v>
      </c>
      <c r="BI5" s="105">
        <f aca="true" t="shared" si="37" ref="BI5:BI36">IF(R&gt;0,(AK5+AL5+AN5+AP5+AQ5+AR5+AS5+AU5+AW5+AX5+AY5+AZ5+BA5),BG5)</f>
        <v>0.27603213712807434</v>
      </c>
      <c r="BJ5" s="94">
        <v>1</v>
      </c>
      <c r="BK5" s="60">
        <f>BI5/2</f>
        <v>0.13801606856403717</v>
      </c>
      <c r="BL5" s="106">
        <f>BI5*BJ5</f>
        <v>0.27603213712807434</v>
      </c>
      <c r="BM5" s="59"/>
      <c r="BN5" s="59"/>
      <c r="BO5" s="96">
        <f>BO4+0.01</f>
        <v>0.02</v>
      </c>
      <c r="BP5" s="107">
        <v>3.88</v>
      </c>
      <c r="BQ5" s="108">
        <v>4.36</v>
      </c>
      <c r="BR5" s="109">
        <v>4.55</v>
      </c>
      <c r="BS5" s="60"/>
      <c r="BT5" s="60"/>
      <c r="BU5" s="60"/>
      <c r="BV5" s="60"/>
      <c r="BW5" s="59"/>
      <c r="BX5" s="88"/>
      <c r="BY5" s="88"/>
      <c r="BZ5" s="88"/>
      <c r="CA5" s="15"/>
      <c r="CB5" s="72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</row>
    <row r="6" spans="1:208" ht="12.75">
      <c r="A6" s="129"/>
      <c r="B6" s="129" t="s">
        <v>15</v>
      </c>
      <c r="C6" s="129">
        <f>-2*bz</f>
        <v>-12</v>
      </c>
      <c r="D6" s="129"/>
      <c r="E6" s="129"/>
      <c r="F6" s="129">
        <f>F5+1</f>
        <v>1</v>
      </c>
      <c r="G6" s="129">
        <f aca="true" t="shared" si="38" ref="G6:G37">hmx*F6/100</f>
        <v>0.017</v>
      </c>
      <c r="H6" s="133">
        <v>1</v>
      </c>
      <c r="I6" s="129">
        <f t="shared" si="0"/>
        <v>-12</v>
      </c>
      <c r="J6" s="129">
        <f t="shared" si="1"/>
        <v>35.966289</v>
      </c>
      <c r="K6" s="129">
        <f aca="true" t="shared" si="39" ref="K6:K45">IF((I6^2-4*H6*J6)&gt;=0,(I6^2-4*H6*J6)^0.5,0)</f>
        <v>0.36721111094299264</v>
      </c>
      <c r="L6" s="129">
        <f t="shared" si="2"/>
        <v>6.183605555471496</v>
      </c>
      <c r="M6" s="129">
        <f aca="true" t="shared" si="40" ref="M6:M45">G6</f>
        <v>0.017</v>
      </c>
      <c r="N6" s="129">
        <f t="shared" si="3"/>
        <v>0.18465311382502114</v>
      </c>
      <c r="O6" s="129">
        <f t="shared" si="4"/>
        <v>0.0020844263982656847</v>
      </c>
      <c r="P6" s="129">
        <f t="shared" si="5"/>
        <v>0.10200000000000001</v>
      </c>
      <c r="Q6" s="129">
        <f t="shared" si="6"/>
        <v>0</v>
      </c>
      <c r="R6" s="15">
        <f t="shared" si="7"/>
        <v>0</v>
      </c>
      <c r="S6" s="110">
        <f aca="true" t="shared" si="41" ref="S6:S45">O6+P6-Q6+R6</f>
        <v>0.10408442639826569</v>
      </c>
      <c r="T6" s="111">
        <f>ROUND(G6,3)</f>
        <v>0.017</v>
      </c>
      <c r="U6" s="112">
        <f aca="true" t="shared" si="42" ref="U6:U45">S6</f>
        <v>0.10408442639826569</v>
      </c>
      <c r="V6" s="15"/>
      <c r="W6" s="88">
        <f aca="true" t="shared" si="43" ref="W6:W69">W5+DL</f>
        <v>0.192</v>
      </c>
      <c r="X6" s="88">
        <f aca="true" t="shared" si="44" ref="X6:X69">AA$3+W6</f>
        <v>80.192</v>
      </c>
      <c r="Y6" s="56">
        <f aca="true" t="shared" si="45" ref="Y6:Y69">(X$3-(C$20*X6^2+C$21*X6+C$22))</f>
        <v>0.06501942811806405</v>
      </c>
      <c r="Z6" s="56">
        <f t="shared" si="8"/>
        <v>0.06501942811806405</v>
      </c>
      <c r="AA6" s="15">
        <f t="shared" si="9"/>
        <v>1.0000510204081632</v>
      </c>
      <c r="AB6" s="15">
        <f t="shared" si="10"/>
        <v>-11.986643134687402</v>
      </c>
      <c r="AC6" s="15">
        <f t="shared" si="11"/>
        <v>35.87418866979667</v>
      </c>
      <c r="AD6" s="15">
        <f aca="true" t="shared" si="46" ref="AD6:AD45">IF((AB6^2-4*AA6*AC6)&gt;0,(AB6^2-4*AA6*AC6)^0.5,0)</f>
        <v>0.41897219020849885</v>
      </c>
      <c r="AE6" s="15">
        <f aca="true" t="shared" si="47" ref="AE6:AE45">(-AB6+AD6)/(2*AA6)</f>
        <v>6.202491208814848</v>
      </c>
      <c r="AF6" s="15">
        <f aca="true" t="shared" si="48" ref="AF6:AF36">Z6+DT*AE6</f>
        <v>0.020715919483672435</v>
      </c>
      <c r="AG6" s="15">
        <f t="shared" si="12"/>
        <v>0.20390116302699046</v>
      </c>
      <c r="AH6" s="56">
        <f t="shared" si="13"/>
        <v>0.022162285260921344</v>
      </c>
      <c r="AI6" s="15">
        <f t="shared" si="14"/>
        <v>0.10195058151349523</v>
      </c>
      <c r="AJ6" s="15">
        <f t="shared" si="15"/>
        <v>0.09900177044113241</v>
      </c>
      <c r="AK6" s="57">
        <f t="shared" si="16"/>
        <v>0.0029488110723628197</v>
      </c>
      <c r="AL6" s="57">
        <f t="shared" si="17"/>
        <v>0</v>
      </c>
      <c r="AM6" s="58">
        <f t="shared" si="18"/>
        <v>-228.89728006347184</v>
      </c>
      <c r="AN6" s="59">
        <f t="shared" si="19"/>
        <v>0</v>
      </c>
      <c r="AO6" s="60">
        <f t="shared" si="20"/>
        <v>-234.89728006347184</v>
      </c>
      <c r="AP6" s="59">
        <f t="shared" si="21"/>
        <v>0</v>
      </c>
      <c r="AQ6" s="59">
        <f t="shared" si="22"/>
        <v>0</v>
      </c>
      <c r="AR6" s="61">
        <f t="shared" si="23"/>
        <v>0</v>
      </c>
      <c r="AS6" s="59">
        <f t="shared" si="24"/>
        <v>0.2615451401369562</v>
      </c>
      <c r="AT6" s="60">
        <f t="shared" si="25"/>
        <v>-228.89728006347184</v>
      </c>
      <c r="AU6" s="59">
        <f>IF(beta=0,0,IF(AND(AF6&gt;R,AF6&lt;hmx),(hmx-R)^2/beta/2-(hmx-AF6)*(bz+R-AT6)/2,IF(AF6&gt;=hmx,(hmx-R)^2/beta/2,0)))</f>
        <v>0</v>
      </c>
      <c r="AV6" s="60">
        <f t="shared" si="26"/>
        <v>-228.89728006347184</v>
      </c>
      <c r="AW6" s="59">
        <f t="shared" si="27"/>
        <v>0</v>
      </c>
      <c r="AX6" s="59">
        <f t="shared" si="28"/>
        <v>0</v>
      </c>
      <c r="AY6" s="59">
        <f t="shared" si="29"/>
        <v>0</v>
      </c>
      <c r="AZ6" s="59">
        <f t="shared" si="30"/>
        <v>0</v>
      </c>
      <c r="BA6" s="59">
        <f t="shared" si="31"/>
        <v>0</v>
      </c>
      <c r="BB6" s="60" t="b">
        <f t="shared" si="32"/>
        <v>0</v>
      </c>
      <c r="BC6" s="60" t="b">
        <f t="shared" si="33"/>
        <v>0</v>
      </c>
      <c r="BD6" s="15" t="b">
        <f t="shared" si="34"/>
        <v>0</v>
      </c>
      <c r="BE6" s="15">
        <f t="shared" si="35"/>
        <v>0.020715919483672435</v>
      </c>
      <c r="BF6" s="103">
        <f t="shared" si="36"/>
        <v>0.2615451401369562</v>
      </c>
      <c r="BG6" s="103">
        <f aca="true" t="shared" si="49" ref="BG6:BG69">IF(BF6&gt;0,BF6,0)</f>
        <v>0.2615451401369562</v>
      </c>
      <c r="BH6" s="104">
        <f>BH5+1</f>
        <v>1</v>
      </c>
      <c r="BI6" s="105">
        <f t="shared" si="37"/>
        <v>0.264493951209319</v>
      </c>
      <c r="BJ6" s="94">
        <v>4</v>
      </c>
      <c r="BK6" s="60">
        <f>BI6</f>
        <v>0.264493951209319</v>
      </c>
      <c r="BL6" s="106">
        <f aca="true" t="shared" si="50" ref="BL6:BL69">BI6*BJ6</f>
        <v>1.057975804837276</v>
      </c>
      <c r="BM6" s="59"/>
      <c r="BN6" s="59"/>
      <c r="BO6" s="96">
        <f aca="true" t="shared" si="51" ref="BO6:BO22">BO5+0.01</f>
        <v>0.03</v>
      </c>
      <c r="BP6" s="107">
        <v>4.84</v>
      </c>
      <c r="BQ6" s="108">
        <v>5.57</v>
      </c>
      <c r="BR6" s="109">
        <v>5.74</v>
      </c>
      <c r="BS6" s="60"/>
      <c r="BT6" s="60"/>
      <c r="BU6" s="60"/>
      <c r="BV6" s="60"/>
      <c r="BW6" s="59"/>
      <c r="BX6" s="88"/>
      <c r="BY6" s="88"/>
      <c r="BZ6" s="88"/>
      <c r="CA6" s="15"/>
      <c r="CB6" s="72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</row>
    <row r="7" spans="1:208" ht="12.75">
      <c r="A7" s="129"/>
      <c r="B7" s="129" t="s">
        <v>16</v>
      </c>
      <c r="C7" s="129"/>
      <c r="D7" s="129"/>
      <c r="E7" s="129"/>
      <c r="F7" s="129">
        <f aca="true" t="shared" si="52" ref="F7:F70">F6+1</f>
        <v>2</v>
      </c>
      <c r="G7" s="129">
        <f t="shared" si="38"/>
        <v>0.034</v>
      </c>
      <c r="H7" s="133">
        <v>1</v>
      </c>
      <c r="I7" s="129">
        <f t="shared" si="0"/>
        <v>-12</v>
      </c>
      <c r="J7" s="129">
        <f t="shared" si="1"/>
        <v>35.933156000000004</v>
      </c>
      <c r="K7" s="129">
        <f t="shared" si="39"/>
        <v>0.5170841324194589</v>
      </c>
      <c r="L7" s="129">
        <f t="shared" si="2"/>
        <v>6.2585420662097295</v>
      </c>
      <c r="M7" s="129">
        <f t="shared" si="40"/>
        <v>0.034</v>
      </c>
      <c r="N7" s="129">
        <f t="shared" si="3"/>
        <v>0.26151264916030836</v>
      </c>
      <c r="O7" s="129">
        <f t="shared" si="4"/>
        <v>0.00588050660085121</v>
      </c>
      <c r="P7" s="129">
        <f t="shared" si="5"/>
        <v>0.20400000000000001</v>
      </c>
      <c r="Q7" s="129">
        <f t="shared" si="6"/>
        <v>0</v>
      </c>
      <c r="R7" s="15">
        <f t="shared" si="7"/>
        <v>0</v>
      </c>
      <c r="S7" s="110">
        <f t="shared" si="41"/>
        <v>0.20988050660085122</v>
      </c>
      <c r="T7" s="111">
        <f aca="true" t="shared" si="53" ref="T7:T70">ROUND(G7,3)</f>
        <v>0.034</v>
      </c>
      <c r="U7" s="112">
        <f t="shared" si="42"/>
        <v>0.20988050660085122</v>
      </c>
      <c r="V7" s="15"/>
      <c r="W7" s="88">
        <f t="shared" si="43"/>
        <v>0.384</v>
      </c>
      <c r="X7" s="88">
        <f t="shared" si="44"/>
        <v>80.384</v>
      </c>
      <c r="Y7" s="56">
        <f t="shared" si="45"/>
        <v>0.06315558732467519</v>
      </c>
      <c r="Z7" s="56">
        <f t="shared" si="8"/>
        <v>0.06315558732467519</v>
      </c>
      <c r="AA7" s="15">
        <f t="shared" si="9"/>
        <v>1.0000510204081632</v>
      </c>
      <c r="AB7" s="15">
        <f t="shared" si="10"/>
        <v>-11.986616508390352</v>
      </c>
      <c r="AC7" s="15">
        <f t="shared" si="11"/>
        <v>35.87767745356097</v>
      </c>
      <c r="AD7" s="15">
        <f t="shared" si="46"/>
        <v>0.40117767881790495</v>
      </c>
      <c r="AE7" s="15">
        <f t="shared" si="47"/>
        <v>6.1935810945686915</v>
      </c>
      <c r="AF7" s="15">
        <f t="shared" si="48"/>
        <v>0.01891572236347041</v>
      </c>
      <c r="AG7" s="15">
        <f t="shared" si="12"/>
        <v>0.19481098071059488</v>
      </c>
      <c r="AH7" s="56">
        <f t="shared" si="13"/>
        <v>0.020298444467532484</v>
      </c>
      <c r="AI7" s="15">
        <f t="shared" si="14"/>
        <v>0.09740549035529744</v>
      </c>
      <c r="AJ7" s="15">
        <f t="shared" si="15"/>
        <v>0.0948258497353124</v>
      </c>
      <c r="AK7" s="57">
        <f t="shared" si="16"/>
        <v>0.0025796406199850436</v>
      </c>
      <c r="AL7" s="57">
        <f t="shared" si="17"/>
        <v>0</v>
      </c>
      <c r="AM7" s="58">
        <f t="shared" si="18"/>
        <v>-229.15821777454627</v>
      </c>
      <c r="AN7" s="59">
        <f t="shared" si="19"/>
        <v>0</v>
      </c>
      <c r="AO7" s="60">
        <f t="shared" si="20"/>
        <v>-235.15821777454627</v>
      </c>
      <c r="AP7" s="59">
        <f t="shared" si="21"/>
        <v>0</v>
      </c>
      <c r="AQ7" s="59">
        <f t="shared" si="22"/>
        <v>0</v>
      </c>
      <c r="AR7" s="61">
        <f t="shared" si="23"/>
        <v>0</v>
      </c>
      <c r="AS7" s="59">
        <f t="shared" si="24"/>
        <v>0.250362095376623</v>
      </c>
      <c r="AT7" s="60">
        <f t="shared" si="25"/>
        <v>-229.15821777454627</v>
      </c>
      <c r="AU7" s="59">
        <f aca="true" t="shared" si="54" ref="AU7:AU70">IF(beta=0,0,IF(AND(AF7&gt;R,AF7&lt;hmx),(hmx-R)^2/beta/2-(hmx-AF7)*(bz+R-AT7)/2,IF(AF7&gt;=hmx,(hmx-R)^2/beta/2,0)))</f>
        <v>0</v>
      </c>
      <c r="AV7" s="60">
        <f t="shared" si="26"/>
        <v>-229.15821777454627</v>
      </c>
      <c r="AW7" s="59">
        <f t="shared" si="27"/>
        <v>0</v>
      </c>
      <c r="AX7" s="59">
        <f t="shared" si="28"/>
        <v>0</v>
      </c>
      <c r="AY7" s="59">
        <f t="shared" si="29"/>
        <v>0</v>
      </c>
      <c r="AZ7" s="59">
        <f t="shared" si="30"/>
        <v>0</v>
      </c>
      <c r="BA7" s="59">
        <f t="shared" si="31"/>
        <v>0</v>
      </c>
      <c r="BB7" s="60" t="b">
        <f t="shared" si="32"/>
        <v>0</v>
      </c>
      <c r="BC7" s="60" t="b">
        <f t="shared" si="33"/>
        <v>0</v>
      </c>
      <c r="BD7" s="15" t="b">
        <f t="shared" si="34"/>
        <v>0</v>
      </c>
      <c r="BE7" s="15">
        <f t="shared" si="35"/>
        <v>0.01891572236347041</v>
      </c>
      <c r="BF7" s="103">
        <f t="shared" si="36"/>
        <v>0.250362095376623</v>
      </c>
      <c r="BG7" s="103">
        <f t="shared" si="49"/>
        <v>0.250362095376623</v>
      </c>
      <c r="BH7" s="104">
        <f aca="true" t="shared" si="55" ref="BH7:BH70">BH6+1</f>
        <v>2</v>
      </c>
      <c r="BI7" s="105">
        <f t="shared" si="37"/>
        <v>0.2529417359966081</v>
      </c>
      <c r="BJ7" s="94">
        <v>2</v>
      </c>
      <c r="BK7" s="60">
        <f aca="true" t="shared" si="56" ref="BK7:BK70">BI7</f>
        <v>0.2529417359966081</v>
      </c>
      <c r="BL7" s="106">
        <f t="shared" si="50"/>
        <v>0.5058834719932161</v>
      </c>
      <c r="BM7" s="59"/>
      <c r="BN7" s="59"/>
      <c r="BO7" s="96">
        <f t="shared" si="51"/>
        <v>0.04</v>
      </c>
      <c r="BP7" s="107">
        <v>5.8</v>
      </c>
      <c r="BQ7" s="108">
        <v>6.78</v>
      </c>
      <c r="BR7" s="109">
        <v>6.94</v>
      </c>
      <c r="BS7" s="60"/>
      <c r="BT7" s="60"/>
      <c r="BU7" s="60"/>
      <c r="BV7" s="60"/>
      <c r="BW7" s="59"/>
      <c r="BX7" s="88"/>
      <c r="BY7" s="88"/>
      <c r="BZ7" s="88"/>
      <c r="CA7" s="15"/>
      <c r="CB7" s="72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</row>
    <row r="8" spans="1:208" ht="12.75">
      <c r="A8" s="129"/>
      <c r="B8" s="129"/>
      <c r="C8" s="129"/>
      <c r="D8" s="129"/>
      <c r="E8" s="129"/>
      <c r="F8" s="129">
        <f t="shared" si="52"/>
        <v>3</v>
      </c>
      <c r="G8" s="129">
        <f t="shared" si="38"/>
        <v>0.051</v>
      </c>
      <c r="H8" s="133">
        <v>1</v>
      </c>
      <c r="I8" s="129">
        <f t="shared" si="0"/>
        <v>-12</v>
      </c>
      <c r="J8" s="129">
        <f t="shared" si="1"/>
        <v>35.900601</v>
      </c>
      <c r="K8" s="129">
        <f t="shared" si="39"/>
        <v>0.6305521390019964</v>
      </c>
      <c r="L8" s="129">
        <f t="shared" si="2"/>
        <v>6.315276069500998</v>
      </c>
      <c r="M8" s="129">
        <f t="shared" si="40"/>
        <v>0.051</v>
      </c>
      <c r="N8" s="129">
        <f t="shared" si="3"/>
        <v>0.32074754568910024</v>
      </c>
      <c r="O8" s="129">
        <f t="shared" si="4"/>
        <v>0.010775277866325095</v>
      </c>
      <c r="P8" s="129">
        <f t="shared" si="5"/>
        <v>0.306</v>
      </c>
      <c r="Q8" s="129">
        <f t="shared" si="6"/>
        <v>0</v>
      </c>
      <c r="R8" s="15">
        <f t="shared" si="7"/>
        <v>0</v>
      </c>
      <c r="S8" s="110">
        <f t="shared" si="41"/>
        <v>0.3167752778663251</v>
      </c>
      <c r="T8" s="111">
        <f t="shared" si="53"/>
        <v>0.051</v>
      </c>
      <c r="U8" s="112">
        <f t="shared" si="42"/>
        <v>0.3167752778663251</v>
      </c>
      <c r="V8" s="15"/>
      <c r="W8" s="88">
        <f t="shared" si="43"/>
        <v>0.5760000000000001</v>
      </c>
      <c r="X8" s="88">
        <f t="shared" si="44"/>
        <v>80.576</v>
      </c>
      <c r="Y8" s="56">
        <f t="shared" si="45"/>
        <v>0.061286871952774824</v>
      </c>
      <c r="Z8" s="56">
        <f t="shared" si="8"/>
        <v>0.061286871952774824</v>
      </c>
      <c r="AA8" s="15">
        <f t="shared" si="9"/>
        <v>1.0000510204081632</v>
      </c>
      <c r="AB8" s="15">
        <f t="shared" si="10"/>
        <v>-11.986589812456469</v>
      </c>
      <c r="AC8" s="15">
        <f t="shared" si="11"/>
        <v>35.881182336768205</v>
      </c>
      <c r="AD8" s="15">
        <f t="shared" si="46"/>
        <v>0.3824699919465442</v>
      </c>
      <c r="AE8" s="15">
        <f t="shared" si="47"/>
        <v>6.184214381059617</v>
      </c>
      <c r="AF8" s="15">
        <f t="shared" si="48"/>
        <v>0.017113912088063434</v>
      </c>
      <c r="AG8" s="15">
        <f t="shared" si="12"/>
        <v>0.18527250430991926</v>
      </c>
      <c r="AH8" s="56">
        <f t="shared" si="13"/>
        <v>0.01842972909563212</v>
      </c>
      <c r="AI8" s="15">
        <f t="shared" si="14"/>
        <v>0.09263625215495963</v>
      </c>
      <c r="AJ8" s="15">
        <f t="shared" si="15"/>
        <v>0.09040967996058417</v>
      </c>
      <c r="AK8" s="57">
        <f t="shared" si="16"/>
        <v>0.0022265721943754563</v>
      </c>
      <c r="AL8" s="57">
        <f t="shared" si="17"/>
        <v>0</v>
      </c>
      <c r="AM8" s="58">
        <f t="shared" si="18"/>
        <v>-229.41983792661233</v>
      </c>
      <c r="AN8" s="59">
        <f t="shared" si="19"/>
        <v>0</v>
      </c>
      <c r="AO8" s="60">
        <f t="shared" si="20"/>
        <v>-235.41983792661233</v>
      </c>
      <c r="AP8" s="59">
        <f t="shared" si="21"/>
        <v>0</v>
      </c>
      <c r="AQ8" s="59">
        <f t="shared" si="22"/>
        <v>0</v>
      </c>
      <c r="AR8" s="61">
        <f t="shared" si="23"/>
        <v>0</v>
      </c>
      <c r="AS8" s="59">
        <f t="shared" si="24"/>
        <v>0.23914980314522083</v>
      </c>
      <c r="AT8" s="60">
        <f t="shared" si="25"/>
        <v>-229.41983792661233</v>
      </c>
      <c r="AU8" s="59">
        <f t="shared" si="54"/>
        <v>0</v>
      </c>
      <c r="AV8" s="60">
        <f t="shared" si="26"/>
        <v>-229.41983792661233</v>
      </c>
      <c r="AW8" s="59">
        <f t="shared" si="27"/>
        <v>0</v>
      </c>
      <c r="AX8" s="59">
        <f t="shared" si="28"/>
        <v>0</v>
      </c>
      <c r="AY8" s="59">
        <f t="shared" si="29"/>
        <v>0</v>
      </c>
      <c r="AZ8" s="59">
        <f t="shared" si="30"/>
        <v>0</v>
      </c>
      <c r="BA8" s="59">
        <f t="shared" si="31"/>
        <v>0</v>
      </c>
      <c r="BB8" s="60" t="b">
        <f t="shared" si="32"/>
        <v>0</v>
      </c>
      <c r="BC8" s="60" t="b">
        <f t="shared" si="33"/>
        <v>0</v>
      </c>
      <c r="BD8" s="15" t="b">
        <f t="shared" si="34"/>
        <v>0</v>
      </c>
      <c r="BE8" s="15">
        <f t="shared" si="35"/>
        <v>0.017113912088063434</v>
      </c>
      <c r="BF8" s="103">
        <f t="shared" si="36"/>
        <v>0.23914980314522083</v>
      </c>
      <c r="BG8" s="103">
        <f t="shared" si="49"/>
        <v>0.23914980314522083</v>
      </c>
      <c r="BH8" s="104">
        <f t="shared" si="55"/>
        <v>3</v>
      </c>
      <c r="BI8" s="105">
        <f t="shared" si="37"/>
        <v>0.24137637533959627</v>
      </c>
      <c r="BJ8" s="94">
        <v>4</v>
      </c>
      <c r="BK8" s="60">
        <f t="shared" si="56"/>
        <v>0.24137637533959627</v>
      </c>
      <c r="BL8" s="106">
        <f t="shared" si="50"/>
        <v>0.9655055013583851</v>
      </c>
      <c r="BM8" s="59"/>
      <c r="BN8" s="59"/>
      <c r="BO8" s="96">
        <f t="shared" si="51"/>
        <v>0.05</v>
      </c>
      <c r="BP8" s="107">
        <v>6.77</v>
      </c>
      <c r="BQ8" s="108">
        <v>7.99</v>
      </c>
      <c r="BR8" s="109">
        <v>8.13</v>
      </c>
      <c r="BS8" s="60"/>
      <c r="BT8" s="60"/>
      <c r="BU8" s="60"/>
      <c r="BV8" s="60"/>
      <c r="BW8" s="59"/>
      <c r="BX8" s="88"/>
      <c r="BY8" s="88"/>
      <c r="BZ8" s="88"/>
      <c r="CA8" s="15"/>
      <c r="CB8" s="72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</row>
    <row r="9" spans="1:208" ht="12.75">
      <c r="A9" s="129"/>
      <c r="B9" s="129"/>
      <c r="C9" s="129"/>
      <c r="D9" s="129"/>
      <c r="E9" s="129"/>
      <c r="F9" s="129">
        <f t="shared" si="52"/>
        <v>4</v>
      </c>
      <c r="G9" s="129">
        <f t="shared" si="38"/>
        <v>0.068</v>
      </c>
      <c r="H9" s="133">
        <v>1</v>
      </c>
      <c r="I9" s="129">
        <f t="shared" si="0"/>
        <v>-12</v>
      </c>
      <c r="J9" s="129">
        <f t="shared" si="1"/>
        <v>35.868624</v>
      </c>
      <c r="K9" s="129">
        <f t="shared" si="39"/>
        <v>0.7249165469211005</v>
      </c>
      <c r="L9" s="129">
        <f t="shared" si="2"/>
        <v>6.36245827346055</v>
      </c>
      <c r="M9" s="129">
        <f t="shared" si="40"/>
        <v>0.068</v>
      </c>
      <c r="N9" s="129">
        <f t="shared" si="3"/>
        <v>0.3709041775202724</v>
      </c>
      <c r="O9" s="129">
        <f t="shared" si="4"/>
        <v>0.016546533327521706</v>
      </c>
      <c r="P9" s="129">
        <f t="shared" si="5"/>
        <v>0.40800000000000003</v>
      </c>
      <c r="Q9" s="129">
        <f t="shared" si="6"/>
        <v>0</v>
      </c>
      <c r="R9" s="15">
        <f t="shared" si="7"/>
        <v>0</v>
      </c>
      <c r="S9" s="110">
        <f t="shared" si="41"/>
        <v>0.42454653332752174</v>
      </c>
      <c r="T9" s="111">
        <f t="shared" si="53"/>
        <v>0.068</v>
      </c>
      <c r="U9" s="112">
        <f t="shared" si="42"/>
        <v>0.42454653332752174</v>
      </c>
      <c r="V9" s="15"/>
      <c r="W9" s="88">
        <f t="shared" si="43"/>
        <v>0.768</v>
      </c>
      <c r="X9" s="88">
        <f t="shared" si="44"/>
        <v>80.768</v>
      </c>
      <c r="Y9" s="56">
        <f t="shared" si="45"/>
        <v>0.05941328200236118</v>
      </c>
      <c r="Z9" s="56">
        <f t="shared" si="8"/>
        <v>0.05941328200236118</v>
      </c>
      <c r="AA9" s="15">
        <f t="shared" si="9"/>
        <v>1.0000510204081632</v>
      </c>
      <c r="AB9" s="15">
        <f t="shared" si="10"/>
        <v>-11.986563046885749</v>
      </c>
      <c r="AC9" s="15">
        <f t="shared" si="11"/>
        <v>35.884703374073574</v>
      </c>
      <c r="AD9" s="15">
        <f t="shared" si="46"/>
        <v>0.36270755688411005</v>
      </c>
      <c r="AE9" s="15">
        <f t="shared" si="47"/>
        <v>6.174320285543831</v>
      </c>
      <c r="AF9" s="15">
        <f t="shared" si="48"/>
        <v>0.01531099424847683</v>
      </c>
      <c r="AG9" s="15">
        <f t="shared" si="12"/>
        <v>0.17521544254585852</v>
      </c>
      <c r="AH9" s="56">
        <f t="shared" si="13"/>
        <v>0.016556139145218474</v>
      </c>
      <c r="AI9" s="15">
        <f t="shared" si="14"/>
        <v>0.08760772127292926</v>
      </c>
      <c r="AJ9" s="15">
        <f t="shared" si="15"/>
        <v>0.08571710732026659</v>
      </c>
      <c r="AK9" s="57">
        <f t="shared" si="16"/>
        <v>0.0018906139526626703</v>
      </c>
      <c r="AL9" s="57">
        <f t="shared" si="17"/>
        <v>0</v>
      </c>
      <c r="AM9" s="58">
        <f t="shared" si="18"/>
        <v>-229.68214051967024</v>
      </c>
      <c r="AN9" s="59">
        <f t="shared" si="19"/>
        <v>0</v>
      </c>
      <c r="AO9" s="60">
        <f t="shared" si="20"/>
        <v>-235.68214051967024</v>
      </c>
      <c r="AP9" s="59">
        <f t="shared" si="21"/>
        <v>0</v>
      </c>
      <c r="AQ9" s="59">
        <f t="shared" si="22"/>
        <v>0</v>
      </c>
      <c r="AR9" s="61">
        <f t="shared" si="23"/>
        <v>0</v>
      </c>
      <c r="AS9" s="59">
        <f t="shared" si="24"/>
        <v>0.22790826344273896</v>
      </c>
      <c r="AT9" s="60">
        <f t="shared" si="25"/>
        <v>-229.68214051967024</v>
      </c>
      <c r="AU9" s="59">
        <f t="shared" si="54"/>
        <v>0</v>
      </c>
      <c r="AV9" s="60">
        <f t="shared" si="26"/>
        <v>-229.68214051967024</v>
      </c>
      <c r="AW9" s="59">
        <f t="shared" si="27"/>
        <v>0</v>
      </c>
      <c r="AX9" s="59">
        <f t="shared" si="28"/>
        <v>0</v>
      </c>
      <c r="AY9" s="59">
        <f t="shared" si="29"/>
        <v>0</v>
      </c>
      <c r="AZ9" s="59">
        <f t="shared" si="30"/>
        <v>0</v>
      </c>
      <c r="BA9" s="59">
        <f t="shared" si="31"/>
        <v>0</v>
      </c>
      <c r="BB9" s="60" t="b">
        <f t="shared" si="32"/>
        <v>0</v>
      </c>
      <c r="BC9" s="60" t="b">
        <f t="shared" si="33"/>
        <v>0</v>
      </c>
      <c r="BD9" s="15" t="b">
        <f t="shared" si="34"/>
        <v>0</v>
      </c>
      <c r="BE9" s="15">
        <f t="shared" si="35"/>
        <v>0.01531099424847683</v>
      </c>
      <c r="BF9" s="103">
        <f t="shared" si="36"/>
        <v>0.22790826344273896</v>
      </c>
      <c r="BG9" s="103">
        <f t="shared" si="49"/>
        <v>0.22790826344273896</v>
      </c>
      <c r="BH9" s="104">
        <f t="shared" si="55"/>
        <v>4</v>
      </c>
      <c r="BI9" s="105">
        <f t="shared" si="37"/>
        <v>0.2297988773954016</v>
      </c>
      <c r="BJ9" s="94">
        <v>2</v>
      </c>
      <c r="BK9" s="60">
        <f t="shared" si="56"/>
        <v>0.2297988773954016</v>
      </c>
      <c r="BL9" s="106">
        <f t="shared" si="50"/>
        <v>0.4595977547908032</v>
      </c>
      <c r="BM9" s="59"/>
      <c r="BN9" s="59"/>
      <c r="BO9" s="96">
        <f t="shared" si="51"/>
        <v>0.060000000000000005</v>
      </c>
      <c r="BP9" s="107">
        <v>7.73</v>
      </c>
      <c r="BQ9" s="108">
        <v>9.21</v>
      </c>
      <c r="BR9" s="109">
        <v>9.33</v>
      </c>
      <c r="BS9" s="60"/>
      <c r="BT9" s="60"/>
      <c r="BU9" s="60"/>
      <c r="BV9" s="60"/>
      <c r="BW9" s="59"/>
      <c r="BX9" s="88"/>
      <c r="BY9" s="88"/>
      <c r="BZ9" s="88"/>
      <c r="CA9" s="15"/>
      <c r="CB9" s="72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</row>
    <row r="10" spans="1:208" ht="12.75">
      <c r="A10" s="129"/>
      <c r="B10" s="129">
        <f>C10^2</f>
        <v>0</v>
      </c>
      <c r="C10" s="129">
        <v>0</v>
      </c>
      <c r="D10" s="129">
        <v>1</v>
      </c>
      <c r="E10" s="129">
        <f>-Tr</f>
        <v>-6.2</v>
      </c>
      <c r="F10" s="129">
        <f t="shared" si="52"/>
        <v>5</v>
      </c>
      <c r="G10" s="129">
        <f t="shared" si="38"/>
        <v>0.085</v>
      </c>
      <c r="H10" s="133">
        <v>1</v>
      </c>
      <c r="I10" s="129">
        <f t="shared" si="0"/>
        <v>-12</v>
      </c>
      <c r="J10" s="129">
        <f t="shared" si="1"/>
        <v>35.837225</v>
      </c>
      <c r="K10" s="129">
        <f t="shared" si="39"/>
        <v>0.8069076774947762</v>
      </c>
      <c r="L10" s="129">
        <f t="shared" si="2"/>
        <v>6.403453838747388</v>
      </c>
      <c r="M10" s="129">
        <f t="shared" si="40"/>
        <v>0.085</v>
      </c>
      <c r="N10" s="129">
        <f t="shared" si="3"/>
        <v>0.4152884061050901</v>
      </c>
      <c r="O10" s="129">
        <f t="shared" si="4"/>
        <v>0.023064071825616983</v>
      </c>
      <c r="P10" s="129">
        <f t="shared" si="5"/>
        <v>0.51</v>
      </c>
      <c r="Q10" s="129">
        <f t="shared" si="6"/>
        <v>0</v>
      </c>
      <c r="R10" s="15">
        <f t="shared" si="7"/>
        <v>0</v>
      </c>
      <c r="S10" s="110">
        <f t="shared" si="41"/>
        <v>0.533064071825617</v>
      </c>
      <c r="T10" s="111">
        <f t="shared" si="53"/>
        <v>0.085</v>
      </c>
      <c r="U10" s="112">
        <f t="shared" si="42"/>
        <v>0.533064071825617</v>
      </c>
      <c r="V10" s="15"/>
      <c r="W10" s="88">
        <f t="shared" si="43"/>
        <v>0.96</v>
      </c>
      <c r="X10" s="88">
        <f t="shared" si="44"/>
        <v>80.96</v>
      </c>
      <c r="Y10" s="56">
        <f t="shared" si="45"/>
        <v>0.05753481747343603</v>
      </c>
      <c r="Z10" s="56">
        <f t="shared" si="8"/>
        <v>0.05753481747343603</v>
      </c>
      <c r="AA10" s="15">
        <f t="shared" si="9"/>
        <v>1.0000510204081632</v>
      </c>
      <c r="AB10" s="15">
        <f t="shared" si="10"/>
        <v>-11.986536211678192</v>
      </c>
      <c r="AC10" s="15">
        <f t="shared" si="11"/>
        <v>35.88824062027483</v>
      </c>
      <c r="AD10" s="15">
        <f t="shared" si="46"/>
        <v>0.3417070997718144</v>
      </c>
      <c r="AE10" s="15">
        <f t="shared" si="47"/>
        <v>6.163807175767057</v>
      </c>
      <c r="AF10" s="15">
        <f t="shared" si="48"/>
        <v>0.013507623360814347</v>
      </c>
      <c r="AG10" s="15">
        <f t="shared" si="12"/>
        <v>0.164548732531403</v>
      </c>
      <c r="AH10" s="56">
        <f t="shared" si="13"/>
        <v>0.014677674616293324</v>
      </c>
      <c r="AI10" s="15">
        <f t="shared" si="14"/>
        <v>0.0822743662657015</v>
      </c>
      <c r="AJ10" s="15">
        <f t="shared" si="15"/>
        <v>0.08070143367066716</v>
      </c>
      <c r="AK10" s="57">
        <f t="shared" si="16"/>
        <v>0.0015729325950343404</v>
      </c>
      <c r="AL10" s="57">
        <f t="shared" si="17"/>
        <v>0</v>
      </c>
      <c r="AM10" s="58">
        <f t="shared" si="18"/>
        <v>-229.94512555371978</v>
      </c>
      <c r="AN10" s="59">
        <f t="shared" si="19"/>
        <v>0</v>
      </c>
      <c r="AO10" s="60">
        <f t="shared" si="20"/>
        <v>-235.94512555371978</v>
      </c>
      <c r="AP10" s="59">
        <f t="shared" si="21"/>
        <v>0</v>
      </c>
      <c r="AQ10" s="59">
        <f t="shared" si="22"/>
        <v>0</v>
      </c>
      <c r="AR10" s="61">
        <f t="shared" si="23"/>
        <v>0</v>
      </c>
      <c r="AS10" s="59">
        <f t="shared" si="24"/>
        <v>0.21663747626918806</v>
      </c>
      <c r="AT10" s="60">
        <f t="shared" si="25"/>
        <v>-229.94512555371978</v>
      </c>
      <c r="AU10" s="59">
        <f t="shared" si="54"/>
        <v>0</v>
      </c>
      <c r="AV10" s="60">
        <f t="shared" si="26"/>
        <v>-229.94512555371978</v>
      </c>
      <c r="AW10" s="59">
        <f t="shared" si="27"/>
        <v>0</v>
      </c>
      <c r="AX10" s="59">
        <f t="shared" si="28"/>
        <v>0</v>
      </c>
      <c r="AY10" s="59">
        <f t="shared" si="29"/>
        <v>0</v>
      </c>
      <c r="AZ10" s="59">
        <f t="shared" si="30"/>
        <v>0</v>
      </c>
      <c r="BA10" s="59">
        <f t="shared" si="31"/>
        <v>0</v>
      </c>
      <c r="BB10" s="60" t="b">
        <f t="shared" si="32"/>
        <v>0</v>
      </c>
      <c r="BC10" s="60" t="b">
        <f t="shared" si="33"/>
        <v>0</v>
      </c>
      <c r="BD10" s="15" t="b">
        <f t="shared" si="34"/>
        <v>0</v>
      </c>
      <c r="BE10" s="15">
        <f t="shared" si="35"/>
        <v>0.013507623360814347</v>
      </c>
      <c r="BF10" s="103">
        <f t="shared" si="36"/>
        <v>0.21663747626918806</v>
      </c>
      <c r="BG10" s="103">
        <f t="shared" si="49"/>
        <v>0.21663747626918806</v>
      </c>
      <c r="BH10" s="104">
        <f t="shared" si="55"/>
        <v>5</v>
      </c>
      <c r="BI10" s="105">
        <f t="shared" si="37"/>
        <v>0.21821040886422238</v>
      </c>
      <c r="BJ10" s="94">
        <v>4</v>
      </c>
      <c r="BK10" s="60">
        <f t="shared" si="56"/>
        <v>0.21821040886422238</v>
      </c>
      <c r="BL10" s="106">
        <f t="shared" si="50"/>
        <v>0.8728416354568895</v>
      </c>
      <c r="BM10" s="59"/>
      <c r="BN10" s="59"/>
      <c r="BO10" s="96">
        <f t="shared" si="51"/>
        <v>0.07</v>
      </c>
      <c r="BP10" s="107">
        <v>8.69</v>
      </c>
      <c r="BQ10" s="108">
        <v>10.43</v>
      </c>
      <c r="BR10" s="109">
        <v>10.53</v>
      </c>
      <c r="BS10" s="60"/>
      <c r="BT10" s="60"/>
      <c r="BU10" s="60"/>
      <c r="BV10" s="60"/>
      <c r="BW10" s="59"/>
      <c r="BX10" s="88"/>
      <c r="BY10" s="88"/>
      <c r="BZ10" s="88"/>
      <c r="CA10" s="15"/>
      <c r="CB10" s="72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</row>
    <row r="11" spans="1:208" ht="12.75">
      <c r="A11" s="129"/>
      <c r="B11" s="129">
        <f>C11^2</f>
        <v>3025</v>
      </c>
      <c r="C11" s="129">
        <f>+Lpp/2</f>
        <v>55</v>
      </c>
      <c r="D11" s="129">
        <v>1</v>
      </c>
      <c r="E11" s="129">
        <f>-(Tp+Tl)/2</f>
        <v>-6.05</v>
      </c>
      <c r="F11" s="129">
        <f t="shared" si="52"/>
        <v>6</v>
      </c>
      <c r="G11" s="129">
        <f t="shared" si="38"/>
        <v>0.102</v>
      </c>
      <c r="H11" s="133">
        <v>1</v>
      </c>
      <c r="I11" s="129">
        <f t="shared" si="0"/>
        <v>-12</v>
      </c>
      <c r="J11" s="129">
        <f t="shared" si="1"/>
        <v>35.806404</v>
      </c>
      <c r="K11" s="129">
        <f t="shared" si="39"/>
        <v>0.8799909090439502</v>
      </c>
      <c r="L11" s="129">
        <f t="shared" si="2"/>
        <v>6.439995454521975</v>
      </c>
      <c r="M11" s="129">
        <f t="shared" si="40"/>
        <v>0.102</v>
      </c>
      <c r="N11" s="129">
        <f t="shared" si="3"/>
        <v>0.4555936116100092</v>
      </c>
      <c r="O11" s="129">
        <f t="shared" si="4"/>
        <v>0.030238846724637558</v>
      </c>
      <c r="P11" s="129">
        <f t="shared" si="5"/>
        <v>0.612</v>
      </c>
      <c r="Q11" s="129">
        <f t="shared" si="6"/>
        <v>0</v>
      </c>
      <c r="R11" s="15">
        <f t="shared" si="7"/>
        <v>0</v>
      </c>
      <c r="S11" s="110">
        <f t="shared" si="41"/>
        <v>0.6422388467246376</v>
      </c>
      <c r="T11" s="111">
        <f t="shared" si="53"/>
        <v>0.102</v>
      </c>
      <c r="U11" s="112">
        <f t="shared" si="42"/>
        <v>0.6422388467246376</v>
      </c>
      <c r="V11" s="15"/>
      <c r="W11" s="88">
        <f t="shared" si="43"/>
        <v>1.152</v>
      </c>
      <c r="X11" s="88">
        <f t="shared" si="44"/>
        <v>81.152</v>
      </c>
      <c r="Y11" s="56">
        <f t="shared" si="45"/>
        <v>0.0556514783659976</v>
      </c>
      <c r="Z11" s="56">
        <f t="shared" si="8"/>
        <v>0.0556514783659976</v>
      </c>
      <c r="AA11" s="15">
        <f t="shared" si="9"/>
        <v>1.0000510204081632</v>
      </c>
      <c r="AB11" s="15">
        <f t="shared" si="10"/>
        <v>-11.986509306833801</v>
      </c>
      <c r="AC11" s="15">
        <f t="shared" si="11"/>
        <v>35.89179413031233</v>
      </c>
      <c r="AD11" s="15">
        <f t="shared" si="46"/>
        <v>0.31922403671882266</v>
      </c>
      <c r="AE11" s="15">
        <f t="shared" si="47"/>
        <v>6.152552766022944</v>
      </c>
      <c r="AF11" s="15">
        <f t="shared" si="48"/>
        <v>0.011704672894405299</v>
      </c>
      <c r="AG11" s="15">
        <f t="shared" si="12"/>
        <v>0.15315076010064987</v>
      </c>
      <c r="AH11" s="56">
        <f t="shared" si="13"/>
        <v>0.012794335508854893</v>
      </c>
      <c r="AI11" s="15">
        <f t="shared" si="14"/>
        <v>0.07657538005032494</v>
      </c>
      <c r="AJ11" s="15">
        <f t="shared" si="15"/>
        <v>0.0753004773758212</v>
      </c>
      <c r="AK11" s="57">
        <f t="shared" si="16"/>
        <v>0.001274902674503739</v>
      </c>
      <c r="AL11" s="57">
        <f t="shared" si="17"/>
        <v>0</v>
      </c>
      <c r="AM11" s="58">
        <f t="shared" si="18"/>
        <v>-230.20879302876114</v>
      </c>
      <c r="AN11" s="59">
        <f t="shared" si="19"/>
        <v>0</v>
      </c>
      <c r="AO11" s="60">
        <f t="shared" si="20"/>
        <v>-236.20879302876114</v>
      </c>
      <c r="AP11" s="59">
        <f t="shared" si="21"/>
        <v>0</v>
      </c>
      <c r="AQ11" s="59">
        <f t="shared" si="22"/>
        <v>0</v>
      </c>
      <c r="AR11" s="61">
        <f t="shared" si="23"/>
        <v>0</v>
      </c>
      <c r="AS11" s="59">
        <f t="shared" si="24"/>
        <v>0.20533744162455747</v>
      </c>
      <c r="AT11" s="60">
        <f t="shared" si="25"/>
        <v>-230.20879302876114</v>
      </c>
      <c r="AU11" s="59">
        <f t="shared" si="54"/>
        <v>0</v>
      </c>
      <c r="AV11" s="60">
        <f t="shared" si="26"/>
        <v>-230.20879302876114</v>
      </c>
      <c r="AW11" s="59">
        <f t="shared" si="27"/>
        <v>0</v>
      </c>
      <c r="AX11" s="59">
        <f t="shared" si="28"/>
        <v>0</v>
      </c>
      <c r="AY11" s="59">
        <f t="shared" si="29"/>
        <v>0</v>
      </c>
      <c r="AZ11" s="59">
        <f t="shared" si="30"/>
        <v>0</v>
      </c>
      <c r="BA11" s="59">
        <f t="shared" si="31"/>
        <v>0</v>
      </c>
      <c r="BB11" s="60" t="b">
        <f t="shared" si="32"/>
        <v>0</v>
      </c>
      <c r="BC11" s="60" t="b">
        <f t="shared" si="33"/>
        <v>0</v>
      </c>
      <c r="BD11" s="15" t="b">
        <f t="shared" si="34"/>
        <v>0</v>
      </c>
      <c r="BE11" s="15">
        <f t="shared" si="35"/>
        <v>0.011704672894405299</v>
      </c>
      <c r="BF11" s="103">
        <f t="shared" si="36"/>
        <v>0.20533744162455747</v>
      </c>
      <c r="BG11" s="103">
        <f t="shared" si="49"/>
        <v>0.20533744162455747</v>
      </c>
      <c r="BH11" s="104">
        <f t="shared" si="55"/>
        <v>6</v>
      </c>
      <c r="BI11" s="105">
        <f t="shared" si="37"/>
        <v>0.20661234429906122</v>
      </c>
      <c r="BJ11" s="94">
        <v>2</v>
      </c>
      <c r="BK11" s="60">
        <f t="shared" si="56"/>
        <v>0.20661234429906122</v>
      </c>
      <c r="BL11" s="106">
        <f t="shared" si="50"/>
        <v>0.41322468859812245</v>
      </c>
      <c r="BM11" s="59"/>
      <c r="BN11" s="59"/>
      <c r="BO11" s="96">
        <f t="shared" si="51"/>
        <v>0.08</v>
      </c>
      <c r="BP11" s="107">
        <v>9.65</v>
      </c>
      <c r="BQ11" s="108">
        <v>11.65</v>
      </c>
      <c r="BR11" s="109">
        <v>11.72</v>
      </c>
      <c r="BS11" s="60"/>
      <c r="BT11" s="60"/>
      <c r="BU11" s="60"/>
      <c r="BV11" s="60"/>
      <c r="BW11" s="59"/>
      <c r="BX11" s="88"/>
      <c r="BY11" s="88"/>
      <c r="BZ11" s="88"/>
      <c r="CA11" s="15"/>
      <c r="CB11" s="72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</row>
    <row r="12" spans="1:208" ht="12.75">
      <c r="A12" s="129"/>
      <c r="B12" s="129">
        <f>C12^2</f>
        <v>12100</v>
      </c>
      <c r="C12" s="129">
        <f>Lpp</f>
        <v>110</v>
      </c>
      <c r="D12" s="129">
        <v>1</v>
      </c>
      <c r="E12" s="129">
        <f>-Td</f>
        <v>-5.5</v>
      </c>
      <c r="F12" s="129">
        <f t="shared" si="52"/>
        <v>7</v>
      </c>
      <c r="G12" s="129">
        <f t="shared" si="38"/>
        <v>0.11900000000000001</v>
      </c>
      <c r="H12" s="133">
        <v>1</v>
      </c>
      <c r="I12" s="129">
        <f t="shared" si="0"/>
        <v>-12</v>
      </c>
      <c r="J12" s="129">
        <f t="shared" si="1"/>
        <v>35.776161</v>
      </c>
      <c r="K12" s="129">
        <f t="shared" si="39"/>
        <v>0.9462325295613084</v>
      </c>
      <c r="L12" s="129">
        <f t="shared" si="2"/>
        <v>6.473116264780654</v>
      </c>
      <c r="M12" s="129">
        <f t="shared" si="40"/>
        <v>0.11900000000000001</v>
      </c>
      <c r="N12" s="129">
        <f t="shared" si="3"/>
        <v>0.4928246226361064</v>
      </c>
      <c r="O12" s="129">
        <f t="shared" si="4"/>
        <v>0.03800459668217418</v>
      </c>
      <c r="P12" s="129">
        <f t="shared" si="5"/>
        <v>0.7140000000000001</v>
      </c>
      <c r="Q12" s="129">
        <f t="shared" si="6"/>
        <v>0</v>
      </c>
      <c r="R12" s="15">
        <f t="shared" si="7"/>
        <v>0</v>
      </c>
      <c r="S12" s="110">
        <f t="shared" si="41"/>
        <v>0.7520045966821742</v>
      </c>
      <c r="T12" s="111">
        <f t="shared" si="53"/>
        <v>0.119</v>
      </c>
      <c r="U12" s="112">
        <f t="shared" si="42"/>
        <v>0.7520045966821742</v>
      </c>
      <c r="V12" s="15"/>
      <c r="W12" s="88">
        <f t="shared" si="43"/>
        <v>1.3439999999999999</v>
      </c>
      <c r="X12" s="88">
        <f t="shared" si="44"/>
        <v>81.344</v>
      </c>
      <c r="Y12" s="56">
        <f t="shared" si="45"/>
        <v>0.053763264680046774</v>
      </c>
      <c r="Z12" s="56">
        <f t="shared" si="8"/>
        <v>0.053763264680046774</v>
      </c>
      <c r="AA12" s="15">
        <f t="shared" si="9"/>
        <v>1.0000510204081632</v>
      </c>
      <c r="AB12" s="15">
        <f t="shared" si="10"/>
        <v>-11.986482332352573</v>
      </c>
      <c r="AC12" s="15">
        <f t="shared" si="11"/>
        <v>35.89536395926896</v>
      </c>
      <c r="AD12" s="15">
        <f t="shared" si="46"/>
        <v>0.2949191113560713</v>
      </c>
      <c r="AE12" s="15">
        <f t="shared" si="47"/>
        <v>6.140387436781017</v>
      </c>
      <c r="AF12" s="15">
        <f t="shared" si="48"/>
        <v>0.009903354417325379</v>
      </c>
      <c r="AG12" s="15">
        <f t="shared" si="12"/>
        <v>0.14085271594774484</v>
      </c>
      <c r="AH12" s="56">
        <f t="shared" si="13"/>
        <v>0.010906121822904069</v>
      </c>
      <c r="AI12" s="15">
        <f t="shared" si="14"/>
        <v>0.07042635797387242</v>
      </c>
      <c r="AJ12" s="15">
        <f t="shared" si="15"/>
        <v>0.06942817714653908</v>
      </c>
      <c r="AK12" s="57">
        <f t="shared" si="16"/>
        <v>0.000998180827333342</v>
      </c>
      <c r="AL12" s="57">
        <f t="shared" si="17"/>
        <v>0</v>
      </c>
      <c r="AM12" s="58">
        <f t="shared" si="18"/>
        <v>-230.47314294479426</v>
      </c>
      <c r="AN12" s="59">
        <f t="shared" si="19"/>
        <v>0</v>
      </c>
      <c r="AO12" s="60">
        <f t="shared" si="20"/>
        <v>-236.47314294479426</v>
      </c>
      <c r="AP12" s="59">
        <f t="shared" si="21"/>
        <v>0</v>
      </c>
      <c r="AQ12" s="59">
        <f t="shared" si="22"/>
        <v>0</v>
      </c>
      <c r="AR12" s="61">
        <f t="shared" si="23"/>
        <v>0</v>
      </c>
      <c r="AS12" s="59">
        <f t="shared" si="24"/>
        <v>0.19400815950885253</v>
      </c>
      <c r="AT12" s="60">
        <f t="shared" si="25"/>
        <v>-230.47314294479426</v>
      </c>
      <c r="AU12" s="59">
        <f t="shared" si="54"/>
        <v>0</v>
      </c>
      <c r="AV12" s="60">
        <f t="shared" si="26"/>
        <v>-230.47314294479426</v>
      </c>
      <c r="AW12" s="59">
        <f t="shared" si="27"/>
        <v>0</v>
      </c>
      <c r="AX12" s="59">
        <f t="shared" si="28"/>
        <v>0</v>
      </c>
      <c r="AY12" s="59">
        <f t="shared" si="29"/>
        <v>0</v>
      </c>
      <c r="AZ12" s="59">
        <f t="shared" si="30"/>
        <v>0</v>
      </c>
      <c r="BA12" s="59">
        <f t="shared" si="31"/>
        <v>0</v>
      </c>
      <c r="BB12" s="60" t="b">
        <f t="shared" si="32"/>
        <v>0</v>
      </c>
      <c r="BC12" s="60" t="b">
        <f t="shared" si="33"/>
        <v>0</v>
      </c>
      <c r="BD12" s="15" t="b">
        <f t="shared" si="34"/>
        <v>0</v>
      </c>
      <c r="BE12" s="15">
        <f t="shared" si="35"/>
        <v>0.009903354417325379</v>
      </c>
      <c r="BF12" s="103">
        <f t="shared" si="36"/>
        <v>0.19400815950885253</v>
      </c>
      <c r="BG12" s="103">
        <f t="shared" si="49"/>
        <v>0.19400815950885253</v>
      </c>
      <c r="BH12" s="104">
        <f t="shared" si="55"/>
        <v>7</v>
      </c>
      <c r="BI12" s="105">
        <f t="shared" si="37"/>
        <v>0.19500634033618586</v>
      </c>
      <c r="BJ12" s="94">
        <v>4</v>
      </c>
      <c r="BK12" s="60">
        <f t="shared" si="56"/>
        <v>0.19500634033618586</v>
      </c>
      <c r="BL12" s="106">
        <f t="shared" si="50"/>
        <v>0.7800253613447434</v>
      </c>
      <c r="BM12" s="59"/>
      <c r="BN12" s="59"/>
      <c r="BO12" s="96">
        <f t="shared" si="51"/>
        <v>0.09</v>
      </c>
      <c r="BP12" s="107">
        <v>10.61</v>
      </c>
      <c r="BQ12" s="108">
        <v>12.88</v>
      </c>
      <c r="BR12" s="109">
        <v>12.92</v>
      </c>
      <c r="BS12" s="60"/>
      <c r="BT12" s="60"/>
      <c r="BU12" s="60"/>
      <c r="BV12" s="60"/>
      <c r="BW12" s="59"/>
      <c r="BX12" s="88"/>
      <c r="BY12" s="88"/>
      <c r="BZ12" s="88"/>
      <c r="CA12" s="15"/>
      <c r="CB12" s="72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</row>
    <row r="13" spans="1:208" ht="12.75">
      <c r="A13" s="129"/>
      <c r="B13" s="129"/>
      <c r="C13" s="129"/>
      <c r="D13" s="129"/>
      <c r="E13" s="129"/>
      <c r="F13" s="129">
        <f t="shared" si="52"/>
        <v>8</v>
      </c>
      <c r="G13" s="129">
        <f t="shared" si="38"/>
        <v>0.136</v>
      </c>
      <c r="H13" s="133">
        <v>1</v>
      </c>
      <c r="I13" s="129">
        <f t="shared" si="0"/>
        <v>-12</v>
      </c>
      <c r="J13" s="129">
        <f t="shared" si="1"/>
        <v>35.746496</v>
      </c>
      <c r="K13" s="129">
        <f t="shared" si="39"/>
        <v>1.0069836145638111</v>
      </c>
      <c r="L13" s="129">
        <f t="shared" si="2"/>
        <v>6.503491807281906</v>
      </c>
      <c r="M13" s="129">
        <f t="shared" si="40"/>
        <v>0.136</v>
      </c>
      <c r="N13" s="129">
        <f t="shared" si="3"/>
        <v>0.5276354822647822</v>
      </c>
      <c r="O13" s="129">
        <f t="shared" si="4"/>
        <v>0.04630928038660778</v>
      </c>
      <c r="P13" s="129">
        <f t="shared" si="5"/>
        <v>0.8160000000000001</v>
      </c>
      <c r="Q13" s="129">
        <f t="shared" si="6"/>
        <v>0</v>
      </c>
      <c r="R13" s="15">
        <f t="shared" si="7"/>
        <v>0</v>
      </c>
      <c r="S13" s="110">
        <f t="shared" si="41"/>
        <v>0.8623092803866078</v>
      </c>
      <c r="T13" s="111">
        <f t="shared" si="53"/>
        <v>0.136</v>
      </c>
      <c r="U13" s="112">
        <f t="shared" si="42"/>
        <v>0.8623092803866078</v>
      </c>
      <c r="V13" s="15"/>
      <c r="W13" s="88">
        <f t="shared" si="43"/>
        <v>1.5359999999999998</v>
      </c>
      <c r="X13" s="88">
        <f t="shared" si="44"/>
        <v>81.536</v>
      </c>
      <c r="Y13" s="56">
        <f t="shared" si="45"/>
        <v>0.051870176415584446</v>
      </c>
      <c r="Z13" s="56">
        <f t="shared" si="8"/>
        <v>0.051870176415584446</v>
      </c>
      <c r="AA13" s="15">
        <f t="shared" si="9"/>
        <v>1.0000510204081632</v>
      </c>
      <c r="AB13" s="15">
        <f t="shared" si="10"/>
        <v>-11.986455288234508</v>
      </c>
      <c r="AC13" s="15">
        <f t="shared" si="11"/>
        <v>35.89895016237022</v>
      </c>
      <c r="AD13" s="15">
        <f t="shared" si="46"/>
        <v>0.26829724375112957</v>
      </c>
      <c r="AE13" s="15">
        <f t="shared" si="47"/>
        <v>6.127063660704008</v>
      </c>
      <c r="AF13" s="15">
        <f t="shared" si="48"/>
        <v>0.008105435981984543</v>
      </c>
      <c r="AG13" s="15">
        <f t="shared" si="12"/>
        <v>0.12740807975231072</v>
      </c>
      <c r="AH13" s="56">
        <f t="shared" si="13"/>
        <v>0.009013033558441741</v>
      </c>
      <c r="AI13" s="15">
        <f t="shared" si="14"/>
        <v>0.06370403987615536</v>
      </c>
      <c r="AJ13" s="15">
        <f t="shared" si="15"/>
        <v>0.06295921583301199</v>
      </c>
      <c r="AK13" s="57">
        <f t="shared" si="16"/>
        <v>0.0007448240431433689</v>
      </c>
      <c r="AL13" s="57">
        <f t="shared" si="17"/>
        <v>0</v>
      </c>
      <c r="AM13" s="58">
        <f t="shared" si="18"/>
        <v>-230.73817530181898</v>
      </c>
      <c r="AN13" s="59">
        <f t="shared" si="19"/>
        <v>0</v>
      </c>
      <c r="AO13" s="60">
        <f t="shared" si="20"/>
        <v>-236.73817530181898</v>
      </c>
      <c r="AP13" s="59">
        <f t="shared" si="21"/>
        <v>0</v>
      </c>
      <c r="AQ13" s="59">
        <f t="shared" si="22"/>
        <v>0</v>
      </c>
      <c r="AR13" s="61">
        <f t="shared" si="23"/>
        <v>0</v>
      </c>
      <c r="AS13" s="59">
        <f t="shared" si="24"/>
        <v>0.18264962992207856</v>
      </c>
      <c r="AT13" s="60">
        <f t="shared" si="25"/>
        <v>-230.73817530181898</v>
      </c>
      <c r="AU13" s="59">
        <f t="shared" si="54"/>
        <v>0</v>
      </c>
      <c r="AV13" s="60">
        <f t="shared" si="26"/>
        <v>-230.73817530181898</v>
      </c>
      <c r="AW13" s="59">
        <f t="shared" si="27"/>
        <v>0</v>
      </c>
      <c r="AX13" s="59">
        <f t="shared" si="28"/>
        <v>0</v>
      </c>
      <c r="AY13" s="59">
        <f t="shared" si="29"/>
        <v>0</v>
      </c>
      <c r="AZ13" s="59">
        <f t="shared" si="30"/>
        <v>0</v>
      </c>
      <c r="BA13" s="59">
        <f t="shared" si="31"/>
        <v>0</v>
      </c>
      <c r="BB13" s="60" t="b">
        <f t="shared" si="32"/>
        <v>0</v>
      </c>
      <c r="BC13" s="60" t="b">
        <f t="shared" si="33"/>
        <v>0</v>
      </c>
      <c r="BD13" s="15" t="b">
        <f t="shared" si="34"/>
        <v>0</v>
      </c>
      <c r="BE13" s="15">
        <f t="shared" si="35"/>
        <v>0.008105435981984543</v>
      </c>
      <c r="BF13" s="103">
        <f t="shared" si="36"/>
        <v>0.18264962992207856</v>
      </c>
      <c r="BG13" s="103">
        <f t="shared" si="49"/>
        <v>0.18264962992207856</v>
      </c>
      <c r="BH13" s="104">
        <f t="shared" si="55"/>
        <v>8</v>
      </c>
      <c r="BI13" s="105">
        <f t="shared" si="37"/>
        <v>0.18339445396522192</v>
      </c>
      <c r="BJ13" s="94">
        <v>2</v>
      </c>
      <c r="BK13" s="60">
        <f t="shared" si="56"/>
        <v>0.18339445396522192</v>
      </c>
      <c r="BL13" s="106">
        <f t="shared" si="50"/>
        <v>0.36678890793044383</v>
      </c>
      <c r="BM13" s="59"/>
      <c r="BN13" s="59"/>
      <c r="BO13" s="96">
        <f t="shared" si="51"/>
        <v>0.09999999999999999</v>
      </c>
      <c r="BP13" s="107">
        <v>11.58</v>
      </c>
      <c r="BQ13" s="108">
        <v>14.11</v>
      </c>
      <c r="BR13" s="109">
        <v>14.12</v>
      </c>
      <c r="BS13" s="60"/>
      <c r="BT13" s="60"/>
      <c r="BU13" s="60"/>
      <c r="BV13" s="60"/>
      <c r="BW13" s="59"/>
      <c r="BX13" s="88"/>
      <c r="BY13" s="88"/>
      <c r="BZ13" s="88"/>
      <c r="CA13" s="15"/>
      <c r="CB13" s="72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</row>
    <row r="14" spans="1:208" ht="12.75">
      <c r="A14" s="129"/>
      <c r="B14" s="129" t="s">
        <v>59</v>
      </c>
      <c r="C14" s="129">
        <f>B10*C11*D12+B11*C12*D10+B12*C10*D11-D10*C11*B12-D11*C12*B10-D12*C10*B11</f>
        <v>-332750</v>
      </c>
      <c r="D14" s="129"/>
      <c r="E14" s="129"/>
      <c r="F14" s="129">
        <f t="shared" si="52"/>
        <v>9</v>
      </c>
      <c r="G14" s="129">
        <f t="shared" si="38"/>
        <v>0.153</v>
      </c>
      <c r="H14" s="133">
        <v>1</v>
      </c>
      <c r="I14" s="129">
        <f t="shared" si="0"/>
        <v>-12</v>
      </c>
      <c r="J14" s="129">
        <f t="shared" si="1"/>
        <v>35.717409</v>
      </c>
      <c r="K14" s="129">
        <f t="shared" si="39"/>
        <v>1.06318577868592</v>
      </c>
      <c r="L14" s="129">
        <f t="shared" si="2"/>
        <v>6.53159288934296</v>
      </c>
      <c r="M14" s="129">
        <f t="shared" si="40"/>
        <v>0.153</v>
      </c>
      <c r="N14" s="129">
        <f t="shared" si="3"/>
        <v>0.5604800828536682</v>
      </c>
      <c r="O14" s="129">
        <f t="shared" si="4"/>
        <v>0.05511045279008922</v>
      </c>
      <c r="P14" s="129">
        <f t="shared" si="5"/>
        <v>0.9179999999999999</v>
      </c>
      <c r="Q14" s="129">
        <f t="shared" si="6"/>
        <v>0</v>
      </c>
      <c r="R14" s="15">
        <f t="shared" si="7"/>
        <v>0</v>
      </c>
      <c r="S14" s="110">
        <f t="shared" si="41"/>
        <v>0.9731104527900891</v>
      </c>
      <c r="T14" s="111">
        <f t="shared" si="53"/>
        <v>0.153</v>
      </c>
      <c r="U14" s="112">
        <f t="shared" si="42"/>
        <v>0.9731104527900891</v>
      </c>
      <c r="V14" s="15"/>
      <c r="W14" s="88">
        <f t="shared" si="43"/>
        <v>1.7279999999999998</v>
      </c>
      <c r="X14" s="88">
        <f t="shared" si="44"/>
        <v>81.728</v>
      </c>
      <c r="Y14" s="56">
        <f t="shared" si="45"/>
        <v>0.04997221357260884</v>
      </c>
      <c r="Z14" s="56">
        <f t="shared" si="8"/>
        <v>0.04997221357260884</v>
      </c>
      <c r="AA14" s="15">
        <f t="shared" si="9"/>
        <v>1.0000510204081632</v>
      </c>
      <c r="AB14" s="15">
        <f t="shared" si="10"/>
        <v>-11.98642817447961</v>
      </c>
      <c r="AC14" s="15">
        <f t="shared" si="11"/>
        <v>35.90255279498413</v>
      </c>
      <c r="AD14" s="15">
        <f t="shared" si="46"/>
        <v>0.2385836340390142</v>
      </c>
      <c r="AE14" s="15">
        <f t="shared" si="47"/>
        <v>6.112194057623719</v>
      </c>
      <c r="AF14" s="15">
        <f t="shared" si="48"/>
        <v>0.0063136845895824315</v>
      </c>
      <c r="AG14" s="15">
        <f t="shared" si="12"/>
        <v>0.11243077485243691</v>
      </c>
      <c r="AH14" s="56">
        <f t="shared" si="13"/>
        <v>0.007115070715466132</v>
      </c>
      <c r="AI14" s="15">
        <f t="shared" si="14"/>
        <v>0.056215387426218455</v>
      </c>
      <c r="AJ14" s="15">
        <f t="shared" si="15"/>
        <v>0.055697894484935485</v>
      </c>
      <c r="AK14" s="57">
        <f t="shared" si="16"/>
        <v>0.0005174929412829696</v>
      </c>
      <c r="AL14" s="57">
        <f t="shared" si="17"/>
        <v>0</v>
      </c>
      <c r="AM14" s="58">
        <f t="shared" si="18"/>
        <v>-231.0038900998356</v>
      </c>
      <c r="AN14" s="59">
        <f t="shared" si="19"/>
        <v>0</v>
      </c>
      <c r="AO14" s="60">
        <f t="shared" si="20"/>
        <v>-237.0038900998356</v>
      </c>
      <c r="AP14" s="59">
        <f t="shared" si="21"/>
        <v>0</v>
      </c>
      <c r="AQ14" s="59">
        <f t="shared" si="22"/>
        <v>0</v>
      </c>
      <c r="AR14" s="61">
        <f t="shared" si="23"/>
        <v>0</v>
      </c>
      <c r="AS14" s="59">
        <f t="shared" si="24"/>
        <v>0.1712618528642249</v>
      </c>
      <c r="AT14" s="60">
        <f t="shared" si="25"/>
        <v>-231.0038900998356</v>
      </c>
      <c r="AU14" s="59">
        <f t="shared" si="54"/>
        <v>0</v>
      </c>
      <c r="AV14" s="60">
        <f t="shared" si="26"/>
        <v>-231.0038900998356</v>
      </c>
      <c r="AW14" s="59">
        <f t="shared" si="27"/>
        <v>0</v>
      </c>
      <c r="AX14" s="59">
        <f t="shared" si="28"/>
        <v>0</v>
      </c>
      <c r="AY14" s="59">
        <f t="shared" si="29"/>
        <v>0</v>
      </c>
      <c r="AZ14" s="59">
        <f t="shared" si="30"/>
        <v>0</v>
      </c>
      <c r="BA14" s="59">
        <f t="shared" si="31"/>
        <v>0</v>
      </c>
      <c r="BB14" s="60" t="b">
        <f t="shared" si="32"/>
        <v>0</v>
      </c>
      <c r="BC14" s="60" t="b">
        <f t="shared" si="33"/>
        <v>0</v>
      </c>
      <c r="BD14" s="15" t="b">
        <f t="shared" si="34"/>
        <v>0</v>
      </c>
      <c r="BE14" s="15">
        <f t="shared" si="35"/>
        <v>0.0063136845895824315</v>
      </c>
      <c r="BF14" s="103">
        <f t="shared" si="36"/>
        <v>0.1712618528642249</v>
      </c>
      <c r="BG14" s="103">
        <f t="shared" si="49"/>
        <v>0.1712618528642249</v>
      </c>
      <c r="BH14" s="104">
        <f t="shared" si="55"/>
        <v>9</v>
      </c>
      <c r="BI14" s="105">
        <f t="shared" si="37"/>
        <v>0.17177934580550788</v>
      </c>
      <c r="BJ14" s="94">
        <v>4</v>
      </c>
      <c r="BK14" s="60">
        <f t="shared" si="56"/>
        <v>0.17177934580550788</v>
      </c>
      <c r="BL14" s="106">
        <f t="shared" si="50"/>
        <v>0.6871173832220315</v>
      </c>
      <c r="BM14" s="59"/>
      <c r="BN14" s="59"/>
      <c r="BO14" s="96">
        <f t="shared" si="51"/>
        <v>0.10999999999999999</v>
      </c>
      <c r="BP14" s="107">
        <v>12.54</v>
      </c>
      <c r="BQ14" s="108">
        <v>15.33</v>
      </c>
      <c r="BR14" s="109">
        <v>15.31</v>
      </c>
      <c r="BS14" s="60"/>
      <c r="BT14" s="60"/>
      <c r="BU14" s="60"/>
      <c r="BV14" s="60"/>
      <c r="BW14" s="59"/>
      <c r="BX14" s="88"/>
      <c r="BY14" s="88"/>
      <c r="BZ14" s="88"/>
      <c r="CA14" s="15"/>
      <c r="CB14" s="72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</row>
    <row r="15" spans="1:208" ht="12.75">
      <c r="A15" s="129"/>
      <c r="B15" s="129" t="s">
        <v>60</v>
      </c>
      <c r="C15" s="129">
        <f>E10*C11*D12+E11*C12*D10+E12*C10*D11-E10*D11*C12-E11*D12*C10-E12*D10*C11</f>
        <v>-22</v>
      </c>
      <c r="D15" s="129"/>
      <c r="E15" s="129"/>
      <c r="F15" s="129">
        <f t="shared" si="52"/>
        <v>10</v>
      </c>
      <c r="G15" s="129">
        <f t="shared" si="38"/>
        <v>0.17</v>
      </c>
      <c r="H15" s="133">
        <v>1</v>
      </c>
      <c r="I15" s="129">
        <f t="shared" si="0"/>
        <v>-12</v>
      </c>
      <c r="J15" s="129">
        <f t="shared" si="1"/>
        <v>35.6889</v>
      </c>
      <c r="K15" s="129">
        <f t="shared" si="39"/>
        <v>1.115526781390753</v>
      </c>
      <c r="L15" s="129">
        <f t="shared" si="2"/>
        <v>6.557763390695376</v>
      </c>
      <c r="M15" s="129">
        <f t="shared" si="40"/>
        <v>0.17</v>
      </c>
      <c r="N15" s="129">
        <f t="shared" si="3"/>
        <v>0.5916886424265441</v>
      </c>
      <c r="O15" s="129">
        <f t="shared" si="4"/>
        <v>0.06437251407469194</v>
      </c>
      <c r="P15" s="129">
        <f t="shared" si="5"/>
        <v>1.02</v>
      </c>
      <c r="Q15" s="129">
        <f t="shared" si="6"/>
        <v>0</v>
      </c>
      <c r="R15" s="15">
        <f t="shared" si="7"/>
        <v>0</v>
      </c>
      <c r="S15" s="110">
        <f t="shared" si="41"/>
        <v>1.084372514074692</v>
      </c>
      <c r="T15" s="111">
        <f t="shared" si="53"/>
        <v>0.17</v>
      </c>
      <c r="U15" s="112">
        <f t="shared" si="42"/>
        <v>1.084372514074692</v>
      </c>
      <c r="V15" s="15"/>
      <c r="W15" s="88">
        <f t="shared" si="43"/>
        <v>1.9199999999999997</v>
      </c>
      <c r="X15" s="88">
        <f t="shared" si="44"/>
        <v>81.92</v>
      </c>
      <c r="Y15" s="56">
        <f t="shared" si="45"/>
        <v>0.04806937615112172</v>
      </c>
      <c r="Z15" s="56">
        <f t="shared" si="8"/>
        <v>0.04806937615112172</v>
      </c>
      <c r="AA15" s="15">
        <f t="shared" si="9"/>
        <v>1.0000510204081632</v>
      </c>
      <c r="AB15" s="15">
        <f t="shared" si="10"/>
        <v>-11.986400991087873</v>
      </c>
      <c r="AC15" s="15">
        <f t="shared" si="11"/>
        <v>35.90617191262131</v>
      </c>
      <c r="AD15" s="15">
        <f t="shared" si="46"/>
        <v>0.20443404432938023</v>
      </c>
      <c r="AE15" s="15">
        <f t="shared" si="47"/>
        <v>6.09510654288501</v>
      </c>
      <c r="AF15" s="15">
        <f t="shared" si="48"/>
        <v>0.004532900844800375</v>
      </c>
      <c r="AG15" s="15">
        <f t="shared" si="12"/>
        <v>0.09525050679133273</v>
      </c>
      <c r="AH15" s="56">
        <f t="shared" si="13"/>
        <v>0.005212233293979018</v>
      </c>
      <c r="AI15" s="15">
        <f t="shared" si="14"/>
        <v>0.04762525339566637</v>
      </c>
      <c r="AJ15" s="15">
        <f t="shared" si="15"/>
        <v>0.04730541269785485</v>
      </c>
      <c r="AK15" s="57">
        <f t="shared" si="16"/>
        <v>0.0003198406978115187</v>
      </c>
      <c r="AL15" s="57">
        <f t="shared" si="17"/>
        <v>0</v>
      </c>
      <c r="AM15" s="58">
        <f t="shared" si="18"/>
        <v>-231.2702873388438</v>
      </c>
      <c r="AN15" s="59">
        <f t="shared" si="19"/>
        <v>0</v>
      </c>
      <c r="AO15" s="60">
        <f t="shared" si="20"/>
        <v>-237.2702873388438</v>
      </c>
      <c r="AP15" s="59">
        <f t="shared" si="21"/>
        <v>0</v>
      </c>
      <c r="AQ15" s="59">
        <f t="shared" si="22"/>
        <v>0</v>
      </c>
      <c r="AR15" s="61">
        <f t="shared" si="23"/>
        <v>0</v>
      </c>
      <c r="AS15" s="59">
        <f t="shared" si="24"/>
        <v>0.15984482833530222</v>
      </c>
      <c r="AT15" s="60">
        <f t="shared" si="25"/>
        <v>-231.2702873388438</v>
      </c>
      <c r="AU15" s="59">
        <f t="shared" si="54"/>
        <v>0</v>
      </c>
      <c r="AV15" s="60">
        <f t="shared" si="26"/>
        <v>-231.2702873388438</v>
      </c>
      <c r="AW15" s="59">
        <f t="shared" si="27"/>
        <v>0</v>
      </c>
      <c r="AX15" s="59">
        <f t="shared" si="28"/>
        <v>0</v>
      </c>
      <c r="AY15" s="59">
        <f t="shared" si="29"/>
        <v>0</v>
      </c>
      <c r="AZ15" s="59">
        <f t="shared" si="30"/>
        <v>0</v>
      </c>
      <c r="BA15" s="59">
        <f t="shared" si="31"/>
        <v>0</v>
      </c>
      <c r="BB15" s="60" t="b">
        <f t="shared" si="32"/>
        <v>0</v>
      </c>
      <c r="BC15" s="60" t="b">
        <f t="shared" si="33"/>
        <v>0</v>
      </c>
      <c r="BD15" s="15" t="b">
        <f t="shared" si="34"/>
        <v>0</v>
      </c>
      <c r="BE15" s="15">
        <f t="shared" si="35"/>
        <v>0.004532900844800375</v>
      </c>
      <c r="BF15" s="103">
        <f t="shared" si="36"/>
        <v>0.15984482833530222</v>
      </c>
      <c r="BG15" s="103">
        <f t="shared" si="49"/>
        <v>0.15984482833530222</v>
      </c>
      <c r="BH15" s="104">
        <f t="shared" si="55"/>
        <v>10</v>
      </c>
      <c r="BI15" s="105">
        <f t="shared" si="37"/>
        <v>0.16016466903311374</v>
      </c>
      <c r="BJ15" s="94">
        <v>2</v>
      </c>
      <c r="BK15" s="60">
        <f t="shared" si="56"/>
        <v>0.16016466903311374</v>
      </c>
      <c r="BL15" s="106">
        <f t="shared" si="50"/>
        <v>0.3203293380662275</v>
      </c>
      <c r="BM15" s="59"/>
      <c r="BN15" s="59"/>
      <c r="BO15" s="96">
        <f t="shared" si="51"/>
        <v>0.11999999999999998</v>
      </c>
      <c r="BP15" s="107">
        <v>13.5</v>
      </c>
      <c r="BQ15" s="108">
        <v>16.56</v>
      </c>
      <c r="BR15" s="109">
        <v>16.51</v>
      </c>
      <c r="BS15" s="60"/>
      <c r="BT15" s="60"/>
      <c r="BU15" s="60"/>
      <c r="BV15" s="60"/>
      <c r="BW15" s="59"/>
      <c r="BX15" s="88"/>
      <c r="BY15" s="88"/>
      <c r="BZ15" s="88"/>
      <c r="CA15" s="15"/>
      <c r="CB15" s="72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</row>
    <row r="16" spans="1:208" ht="12.75">
      <c r="A16" s="129"/>
      <c r="B16" s="129" t="s">
        <v>61</v>
      </c>
      <c r="C16" s="129">
        <f>B10*E11*D12+B11*E12*D10+B12*E10*D11-D10*E11*B12-D11*E12*B10-D12*E10*B11</f>
        <v>302.5</v>
      </c>
      <c r="D16" s="129"/>
      <c r="E16" s="129"/>
      <c r="F16" s="129">
        <f t="shared" si="52"/>
        <v>11</v>
      </c>
      <c r="G16" s="129">
        <f t="shared" si="38"/>
        <v>0.187</v>
      </c>
      <c r="H16" s="133">
        <v>1</v>
      </c>
      <c r="I16" s="129">
        <f t="shared" si="0"/>
        <v>-12</v>
      </c>
      <c r="J16" s="129">
        <f t="shared" si="1"/>
        <v>35.660968999999994</v>
      </c>
      <c r="K16" s="129">
        <f t="shared" si="39"/>
        <v>1.1645273719410902</v>
      </c>
      <c r="L16" s="129">
        <f t="shared" si="2"/>
        <v>6.5822636859705455</v>
      </c>
      <c r="M16" s="129">
        <f t="shared" si="40"/>
        <v>0.187</v>
      </c>
      <c r="N16" s="129">
        <f t="shared" si="3"/>
        <v>0.6215102851656629</v>
      </c>
      <c r="O16" s="129">
        <f t="shared" si="4"/>
        <v>0.07406495423580686</v>
      </c>
      <c r="P16" s="129">
        <f t="shared" si="5"/>
        <v>1.1219999999999999</v>
      </c>
      <c r="Q16" s="129">
        <f t="shared" si="6"/>
        <v>0</v>
      </c>
      <c r="R16" s="15">
        <f t="shared" si="7"/>
        <v>0</v>
      </c>
      <c r="S16" s="110">
        <f t="shared" si="41"/>
        <v>1.1960649542358068</v>
      </c>
      <c r="T16" s="111">
        <f t="shared" si="53"/>
        <v>0.187</v>
      </c>
      <c r="U16" s="112">
        <f t="shared" si="42"/>
        <v>1.1960649542358068</v>
      </c>
      <c r="V16" s="15"/>
      <c r="W16" s="88">
        <f t="shared" si="43"/>
        <v>2.1119999999999997</v>
      </c>
      <c r="X16" s="88">
        <f t="shared" si="44"/>
        <v>82.112</v>
      </c>
      <c r="Y16" s="56">
        <f t="shared" si="45"/>
        <v>0.04616166415112133</v>
      </c>
      <c r="Z16" s="56">
        <f t="shared" si="8"/>
        <v>0.04616166415112133</v>
      </c>
      <c r="AA16" s="15">
        <f t="shared" si="9"/>
        <v>1.0000510204081632</v>
      </c>
      <c r="AB16" s="15">
        <f t="shared" si="10"/>
        <v>-11.986373738059301</v>
      </c>
      <c r="AC16" s="15">
        <f t="shared" si="11"/>
        <v>35.90980757093496</v>
      </c>
      <c r="AD16" s="15">
        <f t="shared" si="46"/>
        <v>0.16308455641335515</v>
      </c>
      <c r="AE16" s="15">
        <f t="shared" si="47"/>
        <v>6.074419227887967</v>
      </c>
      <c r="AF16" s="15">
        <f t="shared" si="48"/>
        <v>0.0027729553804931445</v>
      </c>
      <c r="AG16" s="15">
        <f t="shared" si="12"/>
        <v>0.07448809134228518</v>
      </c>
      <c r="AH16" s="56">
        <f t="shared" si="13"/>
        <v>0.003304521293978624</v>
      </c>
      <c r="AI16" s="15">
        <f t="shared" si="14"/>
        <v>0.03724404567114259</v>
      </c>
      <c r="AJ16" s="15">
        <f t="shared" si="15"/>
        <v>0.03708665398236486</v>
      </c>
      <c r="AK16" s="57">
        <f t="shared" si="16"/>
        <v>0.00015739168877772908</v>
      </c>
      <c r="AL16" s="57">
        <f t="shared" si="17"/>
        <v>0</v>
      </c>
      <c r="AM16" s="58">
        <f t="shared" si="18"/>
        <v>-231.53736701884384</v>
      </c>
      <c r="AN16" s="59">
        <f t="shared" si="19"/>
        <v>0</v>
      </c>
      <c r="AO16" s="60">
        <f t="shared" si="20"/>
        <v>-237.53736701884384</v>
      </c>
      <c r="AP16" s="59">
        <f t="shared" si="21"/>
        <v>0</v>
      </c>
      <c r="AQ16" s="59">
        <f t="shared" si="22"/>
        <v>0</v>
      </c>
      <c r="AR16" s="61">
        <f t="shared" si="23"/>
        <v>0</v>
      </c>
      <c r="AS16" s="59">
        <f t="shared" si="24"/>
        <v>0.14839855633529986</v>
      </c>
      <c r="AT16" s="60">
        <f t="shared" si="25"/>
        <v>-231.53736701884384</v>
      </c>
      <c r="AU16" s="59">
        <f t="shared" si="54"/>
        <v>0</v>
      </c>
      <c r="AV16" s="60">
        <f t="shared" si="26"/>
        <v>-231.53736701884384</v>
      </c>
      <c r="AW16" s="59">
        <f t="shared" si="27"/>
        <v>0</v>
      </c>
      <c r="AX16" s="59">
        <f t="shared" si="28"/>
        <v>0</v>
      </c>
      <c r="AY16" s="59">
        <f t="shared" si="29"/>
        <v>0</v>
      </c>
      <c r="AZ16" s="59">
        <f t="shared" si="30"/>
        <v>0</v>
      </c>
      <c r="BA16" s="59">
        <f t="shared" si="31"/>
        <v>0</v>
      </c>
      <c r="BB16" s="60" t="b">
        <f t="shared" si="32"/>
        <v>0</v>
      </c>
      <c r="BC16" s="60" t="b">
        <f t="shared" si="33"/>
        <v>0</v>
      </c>
      <c r="BD16" s="15" t="b">
        <f t="shared" si="34"/>
        <v>0</v>
      </c>
      <c r="BE16" s="15">
        <f t="shared" si="35"/>
        <v>0.0027729553804931445</v>
      </c>
      <c r="BF16" s="103">
        <f t="shared" si="36"/>
        <v>0.14839855633529986</v>
      </c>
      <c r="BG16" s="103">
        <f t="shared" si="49"/>
        <v>0.14839855633529986</v>
      </c>
      <c r="BH16" s="104">
        <f t="shared" si="55"/>
        <v>11</v>
      </c>
      <c r="BI16" s="105">
        <f t="shared" si="37"/>
        <v>0.1485559480240776</v>
      </c>
      <c r="BJ16" s="94">
        <v>4</v>
      </c>
      <c r="BK16" s="60">
        <f t="shared" si="56"/>
        <v>0.1485559480240776</v>
      </c>
      <c r="BL16" s="106">
        <f t="shared" si="50"/>
        <v>0.5942237920963104</v>
      </c>
      <c r="BM16" s="59"/>
      <c r="BN16" s="59"/>
      <c r="BO16" s="96">
        <f t="shared" si="51"/>
        <v>0.12999999999999998</v>
      </c>
      <c r="BP16" s="107">
        <v>14.46</v>
      </c>
      <c r="BQ16" s="108">
        <v>17.8</v>
      </c>
      <c r="BR16" s="109">
        <v>17.7</v>
      </c>
      <c r="BS16" s="60"/>
      <c r="BT16" s="60"/>
      <c r="BU16" s="60"/>
      <c r="BV16" s="60"/>
      <c r="BW16" s="59"/>
      <c r="BX16" s="88"/>
      <c r="BY16" s="88"/>
      <c r="BZ16" s="88"/>
      <c r="CA16" s="15"/>
      <c r="CB16" s="72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</row>
    <row r="17" spans="1:208" ht="12.75">
      <c r="A17" s="129"/>
      <c r="B17" s="129" t="s">
        <v>62</v>
      </c>
      <c r="C17" s="129">
        <f>B10*C11*E12+B11*C12*E10+B12*C10*E11-E10*C11*B12-E11*C12*B10-E12*C10*B11</f>
        <v>2063050</v>
      </c>
      <c r="D17" s="129"/>
      <c r="E17" s="129"/>
      <c r="F17" s="129">
        <f t="shared" si="52"/>
        <v>12</v>
      </c>
      <c r="G17" s="129">
        <f t="shared" si="38"/>
        <v>0.204</v>
      </c>
      <c r="H17" s="133">
        <v>1</v>
      </c>
      <c r="I17" s="129">
        <f t="shared" si="0"/>
        <v>-12</v>
      </c>
      <c r="J17" s="129">
        <f t="shared" si="1"/>
        <v>35.633615999999996</v>
      </c>
      <c r="K17" s="129">
        <f t="shared" si="39"/>
        <v>1.2105932430011388</v>
      </c>
      <c r="L17" s="129">
        <f t="shared" si="2"/>
        <v>6.605296621500569</v>
      </c>
      <c r="M17" s="129">
        <f t="shared" si="40"/>
        <v>0.204</v>
      </c>
      <c r="N17" s="129">
        <f t="shared" si="3"/>
        <v>0.6501384547276358</v>
      </c>
      <c r="O17" s="129">
        <f t="shared" si="4"/>
        <v>0.08416117200659246</v>
      </c>
      <c r="P17" s="129">
        <f t="shared" si="5"/>
        <v>1.224</v>
      </c>
      <c r="Q17" s="129">
        <f t="shared" si="6"/>
        <v>0</v>
      </c>
      <c r="R17" s="15">
        <f t="shared" si="7"/>
        <v>0</v>
      </c>
      <c r="S17" s="110">
        <f t="shared" si="41"/>
        <v>1.3081611720065924</v>
      </c>
      <c r="T17" s="111">
        <f t="shared" si="53"/>
        <v>0.204</v>
      </c>
      <c r="U17" s="112">
        <f t="shared" si="42"/>
        <v>1.3081611720065924</v>
      </c>
      <c r="V17" s="15"/>
      <c r="W17" s="88">
        <f t="shared" si="43"/>
        <v>2.304</v>
      </c>
      <c r="X17" s="88">
        <f t="shared" si="44"/>
        <v>82.304</v>
      </c>
      <c r="Y17" s="56">
        <f t="shared" si="45"/>
        <v>0.04424907757260943</v>
      </c>
      <c r="Z17" s="56">
        <f t="shared" si="8"/>
        <v>0.04424907757260943</v>
      </c>
      <c r="AA17" s="15">
        <f t="shared" si="9"/>
        <v>1.0000510204081632</v>
      </c>
      <c r="AB17" s="15">
        <f t="shared" si="10"/>
        <v>-11.986346415393895</v>
      </c>
      <c r="AC17" s="15">
        <f t="shared" si="11"/>
        <v>35.91345982572081</v>
      </c>
      <c r="AD17" s="15">
        <f t="shared" si="46"/>
        <v>0.1064509719419664</v>
      </c>
      <c r="AE17" s="15">
        <f t="shared" si="47"/>
        <v>6.046090219677131</v>
      </c>
      <c r="AF17" s="15">
        <f t="shared" si="48"/>
        <v>0.0010627188606300783</v>
      </c>
      <c r="AG17" s="15">
        <f t="shared" si="12"/>
        <v>0.04610655360257265</v>
      </c>
      <c r="AH17" s="56">
        <f t="shared" si="13"/>
        <v>0.001391934715466725</v>
      </c>
      <c r="AI17" s="15">
        <f t="shared" si="14"/>
        <v>0.023053276801286327</v>
      </c>
      <c r="AJ17" s="15">
        <f t="shared" si="15"/>
        <v>0.023013032550159514</v>
      </c>
      <c r="AK17" s="57">
        <f t="shared" si="16"/>
        <v>4.02442511268121E-05</v>
      </c>
      <c r="AL17" s="57">
        <f t="shared" si="17"/>
        <v>0</v>
      </c>
      <c r="AM17" s="58">
        <f t="shared" si="18"/>
        <v>-231.8051291398355</v>
      </c>
      <c r="AN17" s="59">
        <f t="shared" si="19"/>
        <v>0</v>
      </c>
      <c r="AO17" s="60">
        <f t="shared" si="20"/>
        <v>-237.8051291398355</v>
      </c>
      <c r="AP17" s="59">
        <f t="shared" si="21"/>
        <v>0</v>
      </c>
      <c r="AQ17" s="59">
        <f t="shared" si="22"/>
        <v>0</v>
      </c>
      <c r="AR17" s="61">
        <f t="shared" si="23"/>
        <v>0</v>
      </c>
      <c r="AS17" s="59">
        <f t="shared" si="24"/>
        <v>0.13692303686422846</v>
      </c>
      <c r="AT17" s="60">
        <f t="shared" si="25"/>
        <v>-231.8051291398355</v>
      </c>
      <c r="AU17" s="59">
        <f t="shared" si="54"/>
        <v>0</v>
      </c>
      <c r="AV17" s="60">
        <f t="shared" si="26"/>
        <v>-231.8051291398355</v>
      </c>
      <c r="AW17" s="59">
        <f t="shared" si="27"/>
        <v>0</v>
      </c>
      <c r="AX17" s="59">
        <f t="shared" si="28"/>
        <v>0</v>
      </c>
      <c r="AY17" s="59">
        <f t="shared" si="29"/>
        <v>0</v>
      </c>
      <c r="AZ17" s="59">
        <f t="shared" si="30"/>
        <v>0</v>
      </c>
      <c r="BA17" s="59">
        <f t="shared" si="31"/>
        <v>0</v>
      </c>
      <c r="BB17" s="60" t="b">
        <f t="shared" si="32"/>
        <v>0</v>
      </c>
      <c r="BC17" s="60" t="b">
        <f t="shared" si="33"/>
        <v>0</v>
      </c>
      <c r="BD17" s="15" t="b">
        <f t="shared" si="34"/>
        <v>0</v>
      </c>
      <c r="BE17" s="15">
        <f t="shared" si="35"/>
        <v>0.0010627188606300783</v>
      </c>
      <c r="BF17" s="103">
        <f t="shared" si="36"/>
        <v>0.13692303686422846</v>
      </c>
      <c r="BG17" s="103">
        <f t="shared" si="49"/>
        <v>0.13692303686422846</v>
      </c>
      <c r="BH17" s="104">
        <f t="shared" si="55"/>
        <v>12</v>
      </c>
      <c r="BI17" s="105">
        <f t="shared" si="37"/>
        <v>0.13696328111535527</v>
      </c>
      <c r="BJ17" s="94">
        <v>2</v>
      </c>
      <c r="BK17" s="60">
        <f t="shared" si="56"/>
        <v>0.13696328111535527</v>
      </c>
      <c r="BL17" s="106">
        <f t="shared" si="50"/>
        <v>0.27392656223071055</v>
      </c>
      <c r="BM17" s="59"/>
      <c r="BN17" s="59"/>
      <c r="BO17" s="96">
        <f t="shared" si="51"/>
        <v>0.13999999999999999</v>
      </c>
      <c r="BP17" s="107">
        <v>15.42</v>
      </c>
      <c r="BQ17" s="108">
        <v>19.03</v>
      </c>
      <c r="BR17" s="109">
        <v>18.9</v>
      </c>
      <c r="BS17" s="60"/>
      <c r="BT17" s="60"/>
      <c r="BU17" s="60"/>
      <c r="BV17" s="60"/>
      <c r="BW17" s="59"/>
      <c r="BX17" s="88"/>
      <c r="BY17" s="88"/>
      <c r="BZ17" s="88"/>
      <c r="CA17" s="15"/>
      <c r="CB17" s="72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</row>
    <row r="18" spans="1:208" ht="12.75">
      <c r="A18" s="129"/>
      <c r="B18" s="129"/>
      <c r="C18" s="129"/>
      <c r="D18" s="129"/>
      <c r="E18" s="129"/>
      <c r="F18" s="129">
        <f t="shared" si="52"/>
        <v>13</v>
      </c>
      <c r="G18" s="129">
        <f t="shared" si="38"/>
        <v>0.22099999999999997</v>
      </c>
      <c r="H18" s="133">
        <v>1</v>
      </c>
      <c r="I18" s="129">
        <f t="shared" si="0"/>
        <v>-12</v>
      </c>
      <c r="J18" s="129">
        <f t="shared" si="1"/>
        <v>35.606841</v>
      </c>
      <c r="K18" s="129">
        <f t="shared" si="39"/>
        <v>1.2540478459771736</v>
      </c>
      <c r="L18" s="129">
        <f t="shared" si="2"/>
        <v>6.627023922988586</v>
      </c>
      <c r="M18" s="129">
        <f t="shared" si="40"/>
        <v>0.22099999999999997</v>
      </c>
      <c r="N18" s="129">
        <f t="shared" si="3"/>
        <v>0.6777269288522859</v>
      </c>
      <c r="O18" s="129">
        <f t="shared" si="4"/>
        <v>0.09463764642208752</v>
      </c>
      <c r="P18" s="129">
        <f t="shared" si="5"/>
        <v>1.3259999999999998</v>
      </c>
      <c r="Q18" s="129">
        <f t="shared" si="6"/>
        <v>0</v>
      </c>
      <c r="R18" s="15">
        <f t="shared" si="7"/>
        <v>0</v>
      </c>
      <c r="S18" s="110">
        <f t="shared" si="41"/>
        <v>1.4206376464220873</v>
      </c>
      <c r="T18" s="111">
        <f t="shared" si="53"/>
        <v>0.221</v>
      </c>
      <c r="U18" s="112">
        <f t="shared" si="42"/>
        <v>1.4206376464220873</v>
      </c>
      <c r="V18" s="15"/>
      <c r="W18" s="88">
        <f t="shared" si="43"/>
        <v>2.496</v>
      </c>
      <c r="X18" s="88">
        <f t="shared" si="44"/>
        <v>82.496</v>
      </c>
      <c r="Y18" s="56">
        <f t="shared" si="45"/>
        <v>0.04233161641558425</v>
      </c>
      <c r="Z18" s="56">
        <f t="shared" si="8"/>
        <v>0.04233161641558425</v>
      </c>
      <c r="AA18" s="15">
        <f t="shared" si="9"/>
        <v>1.0000510204081632</v>
      </c>
      <c r="AB18" s="15">
        <f t="shared" si="10"/>
        <v>-11.986319023091651</v>
      </c>
      <c r="AC18" s="15">
        <f t="shared" si="11"/>
        <v>35.917128732917185</v>
      </c>
      <c r="AD18" s="15">
        <f t="shared" si="46"/>
        <v>0</v>
      </c>
      <c r="AE18" s="15">
        <f t="shared" si="47"/>
        <v>5.992853753701249</v>
      </c>
      <c r="AF18" s="15">
        <f t="shared" si="48"/>
        <v>-0.0004744818251388033</v>
      </c>
      <c r="AG18" s="15">
        <f t="shared" si="12"/>
        <v>1.5707963267948966</v>
      </c>
      <c r="AH18" s="56">
        <f t="shared" si="13"/>
        <v>-0.0005255264415584548</v>
      </c>
      <c r="AI18" s="15">
        <f t="shared" si="14"/>
        <v>0.7853981633974483</v>
      </c>
      <c r="AJ18" s="15">
        <f t="shared" si="15"/>
        <v>0</v>
      </c>
      <c r="AK18" s="57">
        <f t="shared" si="16"/>
        <v>0</v>
      </c>
      <c r="AL18" s="57">
        <f t="shared" si="17"/>
        <v>0</v>
      </c>
      <c r="AM18" s="58">
        <f t="shared" si="18"/>
        <v>-232.07357370181902</v>
      </c>
      <c r="AN18" s="59">
        <f t="shared" si="19"/>
        <v>0</v>
      </c>
      <c r="AO18" s="60">
        <f t="shared" si="20"/>
        <v>-238.07357370181902</v>
      </c>
      <c r="AP18" s="59">
        <f t="shared" si="21"/>
        <v>0</v>
      </c>
      <c r="AQ18" s="59">
        <f t="shared" si="22"/>
        <v>0</v>
      </c>
      <c r="AR18" s="61">
        <f t="shared" si="23"/>
        <v>0.1254376023849318</v>
      </c>
      <c r="AS18" s="59">
        <f t="shared" si="24"/>
        <v>0</v>
      </c>
      <c r="AT18" s="60">
        <f t="shared" si="25"/>
        <v>-232.07357370181902</v>
      </c>
      <c r="AU18" s="59">
        <f t="shared" si="54"/>
        <v>0</v>
      </c>
      <c r="AV18" s="60">
        <f t="shared" si="26"/>
        <v>-232.07357370181902</v>
      </c>
      <c r="AW18" s="59">
        <f t="shared" si="27"/>
        <v>0</v>
      </c>
      <c r="AX18" s="59">
        <f t="shared" si="28"/>
        <v>0</v>
      </c>
      <c r="AY18" s="59">
        <f t="shared" si="29"/>
        <v>0</v>
      </c>
      <c r="AZ18" s="59">
        <f t="shared" si="30"/>
        <v>0</v>
      </c>
      <c r="BA18" s="59">
        <f t="shared" si="31"/>
        <v>0</v>
      </c>
      <c r="BB18" s="60" t="b">
        <f t="shared" si="32"/>
        <v>0</v>
      </c>
      <c r="BC18" s="60" t="b">
        <f t="shared" si="33"/>
        <v>0</v>
      </c>
      <c r="BD18" s="15" t="b">
        <f t="shared" si="34"/>
        <v>0</v>
      </c>
      <c r="BE18" s="15">
        <f t="shared" si="35"/>
        <v>-0.0004744818251388033</v>
      </c>
      <c r="BF18" s="103">
        <f t="shared" si="36"/>
        <v>0.1254376023849318</v>
      </c>
      <c r="BG18" s="103">
        <f t="shared" si="49"/>
        <v>0.1254376023849318</v>
      </c>
      <c r="BH18" s="104">
        <f t="shared" si="55"/>
        <v>13</v>
      </c>
      <c r="BI18" s="105">
        <f t="shared" si="37"/>
        <v>0.1254376023849318</v>
      </c>
      <c r="BJ18" s="94">
        <v>4</v>
      </c>
      <c r="BK18" s="60">
        <f t="shared" si="56"/>
        <v>0.1254376023849318</v>
      </c>
      <c r="BL18" s="106">
        <f t="shared" si="50"/>
        <v>0.5017504095397272</v>
      </c>
      <c r="BM18" s="59"/>
      <c r="BN18" s="59"/>
      <c r="BO18" s="96">
        <f>BO17+0.01</f>
        <v>0.15</v>
      </c>
      <c r="BP18" s="107">
        <v>16.39</v>
      </c>
      <c r="BQ18" s="108">
        <v>20.27</v>
      </c>
      <c r="BR18" s="109">
        <v>20.1</v>
      </c>
      <c r="BS18" s="60"/>
      <c r="BT18" s="60"/>
      <c r="BU18" s="60"/>
      <c r="BV18" s="60"/>
      <c r="BW18" s="59"/>
      <c r="BX18" s="88"/>
      <c r="BY18" s="88"/>
      <c r="BZ18" s="88"/>
      <c r="CA18" s="15"/>
      <c r="CB18" s="72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</row>
    <row r="19" spans="1:208" ht="12.75">
      <c r="A19" s="129"/>
      <c r="B19" s="129"/>
      <c r="C19" s="129"/>
      <c r="D19" s="129"/>
      <c r="E19" s="129"/>
      <c r="F19" s="129">
        <f t="shared" si="52"/>
        <v>14</v>
      </c>
      <c r="G19" s="129">
        <f t="shared" si="38"/>
        <v>0.23800000000000002</v>
      </c>
      <c r="H19" s="133">
        <v>1</v>
      </c>
      <c r="I19" s="129">
        <f t="shared" si="0"/>
        <v>-12</v>
      </c>
      <c r="J19" s="129">
        <f t="shared" si="1"/>
        <v>35.580644</v>
      </c>
      <c r="K19" s="129">
        <f t="shared" si="39"/>
        <v>1.2951540448919587</v>
      </c>
      <c r="L19" s="129">
        <f t="shared" si="2"/>
        <v>6.647577022445979</v>
      </c>
      <c r="M19" s="129">
        <f t="shared" si="40"/>
        <v>0.23800000000000002</v>
      </c>
      <c r="N19" s="129">
        <f t="shared" si="3"/>
        <v>0.7044003628084701</v>
      </c>
      <c r="O19" s="129">
        <f t="shared" si="4"/>
        <v>0.10547333585231705</v>
      </c>
      <c r="P19" s="129">
        <f t="shared" si="5"/>
        <v>1.4280000000000002</v>
      </c>
      <c r="Q19" s="129">
        <f t="shared" si="6"/>
        <v>0</v>
      </c>
      <c r="R19" s="15">
        <f t="shared" si="7"/>
        <v>0</v>
      </c>
      <c r="S19" s="110">
        <f t="shared" si="41"/>
        <v>1.5334733358523172</v>
      </c>
      <c r="T19" s="111">
        <f t="shared" si="53"/>
        <v>0.238</v>
      </c>
      <c r="U19" s="112">
        <f t="shared" si="42"/>
        <v>1.5334733358523172</v>
      </c>
      <c r="V19" s="15"/>
      <c r="W19" s="88">
        <f t="shared" si="43"/>
        <v>2.688</v>
      </c>
      <c r="X19" s="88">
        <f t="shared" si="44"/>
        <v>82.688</v>
      </c>
      <c r="Y19" s="56">
        <f t="shared" si="45"/>
        <v>0.04040928068004668</v>
      </c>
      <c r="Z19" s="56">
        <f t="shared" si="8"/>
        <v>0.04040928068004668</v>
      </c>
      <c r="AA19" s="15">
        <f t="shared" si="9"/>
        <v>1.0000510204081632</v>
      </c>
      <c r="AB19" s="15">
        <f t="shared" si="10"/>
        <v>-11.986291561152573</v>
      </c>
      <c r="AC19" s="15">
        <f t="shared" si="11"/>
        <v>35.92081434860499</v>
      </c>
      <c r="AD19" s="15">
        <f t="shared" si="46"/>
        <v>0</v>
      </c>
      <c r="AE19" s="15">
        <f t="shared" si="47"/>
        <v>5.992840023432234</v>
      </c>
      <c r="AF19" s="15">
        <f t="shared" si="48"/>
        <v>-0.002396719487326268</v>
      </c>
      <c r="AG19" s="15">
        <f t="shared" si="12"/>
        <v>1.5707963267948966</v>
      </c>
      <c r="AH19" s="56">
        <f t="shared" si="13"/>
        <v>-0.0024478621770960274</v>
      </c>
      <c r="AI19" s="15">
        <f t="shared" si="14"/>
        <v>0.7853981633974483</v>
      </c>
      <c r="AJ19" s="15">
        <f t="shared" si="15"/>
        <v>0</v>
      </c>
      <c r="AK19" s="57">
        <f t="shared" si="16"/>
        <v>0</v>
      </c>
      <c r="AL19" s="57">
        <f t="shared" si="17"/>
        <v>0</v>
      </c>
      <c r="AM19" s="58">
        <f t="shared" si="18"/>
        <v>-232.34270070479428</v>
      </c>
      <c r="AN19" s="59">
        <f t="shared" si="19"/>
        <v>0</v>
      </c>
      <c r="AO19" s="60">
        <f t="shared" si="20"/>
        <v>-238.34270070479428</v>
      </c>
      <c r="AP19" s="59">
        <f t="shared" si="21"/>
        <v>0</v>
      </c>
      <c r="AQ19" s="59">
        <f t="shared" si="22"/>
        <v>0</v>
      </c>
      <c r="AR19" s="61">
        <f t="shared" si="23"/>
        <v>0.11430369755551596</v>
      </c>
      <c r="AS19" s="59">
        <f t="shared" si="24"/>
        <v>0</v>
      </c>
      <c r="AT19" s="60">
        <f t="shared" si="25"/>
        <v>-232.34270070479428</v>
      </c>
      <c r="AU19" s="59">
        <f t="shared" si="54"/>
        <v>0</v>
      </c>
      <c r="AV19" s="60">
        <f t="shared" si="26"/>
        <v>-232.34270070479428</v>
      </c>
      <c r="AW19" s="59">
        <f t="shared" si="27"/>
        <v>0</v>
      </c>
      <c r="AX19" s="59">
        <f t="shared" si="28"/>
        <v>0</v>
      </c>
      <c r="AY19" s="59">
        <f t="shared" si="29"/>
        <v>0</v>
      </c>
      <c r="AZ19" s="59">
        <f t="shared" si="30"/>
        <v>0</v>
      </c>
      <c r="BA19" s="59">
        <f t="shared" si="31"/>
        <v>0</v>
      </c>
      <c r="BB19" s="60" t="b">
        <f t="shared" si="32"/>
        <v>0</v>
      </c>
      <c r="BC19" s="60" t="b">
        <f t="shared" si="33"/>
        <v>0</v>
      </c>
      <c r="BD19" s="15" t="b">
        <f t="shared" si="34"/>
        <v>0</v>
      </c>
      <c r="BE19" s="15">
        <f t="shared" si="35"/>
        <v>-0.002396719487326268</v>
      </c>
      <c r="BF19" s="103">
        <f t="shared" si="36"/>
        <v>0.11430369755551596</v>
      </c>
      <c r="BG19" s="103">
        <f t="shared" si="49"/>
        <v>0.11430369755551596</v>
      </c>
      <c r="BH19" s="104">
        <f t="shared" si="55"/>
        <v>14</v>
      </c>
      <c r="BI19" s="105">
        <f t="shared" si="37"/>
        <v>0.11430369755551596</v>
      </c>
      <c r="BJ19" s="94">
        <v>2</v>
      </c>
      <c r="BK19" s="60">
        <f t="shared" si="56"/>
        <v>0.11430369755551596</v>
      </c>
      <c r="BL19" s="106">
        <f t="shared" si="50"/>
        <v>0.22860739511103192</v>
      </c>
      <c r="BM19" s="59"/>
      <c r="BN19" s="59"/>
      <c r="BO19" s="96">
        <f t="shared" si="51"/>
        <v>0.16</v>
      </c>
      <c r="BP19" s="107">
        <v>17.35</v>
      </c>
      <c r="BQ19" s="108">
        <v>21.5</v>
      </c>
      <c r="BR19" s="109">
        <v>21.29</v>
      </c>
      <c r="BS19" s="60"/>
      <c r="BT19" s="60"/>
      <c r="BU19" s="60"/>
      <c r="BV19" s="60"/>
      <c r="BW19" s="59"/>
      <c r="BX19" s="88"/>
      <c r="BY19" s="88"/>
      <c r="BZ19" s="88"/>
      <c r="CA19" s="15"/>
      <c r="CB19" s="72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</row>
    <row r="20" spans="1:208" ht="12.75">
      <c r="A20" s="129"/>
      <c r="B20" s="129" t="s">
        <v>63</v>
      </c>
      <c r="C20" s="129">
        <f>C15/C14</f>
        <v>6.611570247933885E-05</v>
      </c>
      <c r="D20" s="129"/>
      <c r="E20" s="129"/>
      <c r="F20" s="129">
        <f t="shared" si="52"/>
        <v>15</v>
      </c>
      <c r="G20" s="129">
        <f t="shared" si="38"/>
        <v>0.255</v>
      </c>
      <c r="H20" s="133">
        <v>1</v>
      </c>
      <c r="I20" s="129">
        <f t="shared" si="0"/>
        <v>-12</v>
      </c>
      <c r="J20" s="129">
        <f t="shared" si="1"/>
        <v>35.555025</v>
      </c>
      <c r="K20" s="129">
        <f t="shared" si="39"/>
        <v>1.3341289293018115</v>
      </c>
      <c r="L20" s="129">
        <f t="shared" si="2"/>
        <v>6.667064464650906</v>
      </c>
      <c r="M20" s="129">
        <f t="shared" si="40"/>
        <v>0.255</v>
      </c>
      <c r="N20" s="129">
        <f t="shared" si="3"/>
        <v>0.7302614856969648</v>
      </c>
      <c r="O20" s="129">
        <f t="shared" si="4"/>
        <v>0.11664922976601988</v>
      </c>
      <c r="P20" s="129">
        <f t="shared" si="5"/>
        <v>1.53</v>
      </c>
      <c r="Q20" s="129">
        <f t="shared" si="6"/>
        <v>0</v>
      </c>
      <c r="R20" s="15">
        <f t="shared" si="7"/>
        <v>0</v>
      </c>
      <c r="S20" s="110">
        <f t="shared" si="41"/>
        <v>1.64664922976602</v>
      </c>
      <c r="T20" s="111">
        <f t="shared" si="53"/>
        <v>0.255</v>
      </c>
      <c r="U20" s="112">
        <f t="shared" si="42"/>
        <v>1.64664922976602</v>
      </c>
      <c r="V20" s="15"/>
      <c r="W20" s="88">
        <f t="shared" si="43"/>
        <v>2.8800000000000003</v>
      </c>
      <c r="X20" s="88">
        <f t="shared" si="44"/>
        <v>82.88</v>
      </c>
      <c r="Y20" s="56">
        <f t="shared" si="45"/>
        <v>0.0384820703659976</v>
      </c>
      <c r="Z20" s="56">
        <f t="shared" si="8"/>
        <v>0.0384820703659976</v>
      </c>
      <c r="AA20" s="15">
        <f t="shared" si="9"/>
        <v>1.0000510204081632</v>
      </c>
      <c r="AB20" s="15">
        <f t="shared" si="10"/>
        <v>-11.986264029576658</v>
      </c>
      <c r="AC20" s="15">
        <f t="shared" si="11"/>
        <v>35.92451672900766</v>
      </c>
      <c r="AD20" s="15">
        <f t="shared" si="46"/>
        <v>0</v>
      </c>
      <c r="AE20" s="15">
        <f t="shared" si="47"/>
        <v>5.992826258346577</v>
      </c>
      <c r="AF20" s="15">
        <f t="shared" si="48"/>
        <v>-0.00432383147933494</v>
      </c>
      <c r="AG20" s="15">
        <f t="shared" si="12"/>
        <v>1.5707963267948966</v>
      </c>
      <c r="AH20" s="56">
        <f t="shared" si="13"/>
        <v>-0.0043750724911451044</v>
      </c>
      <c r="AI20" s="15">
        <f t="shared" si="14"/>
        <v>0.7853981633974483</v>
      </c>
      <c r="AJ20" s="15">
        <f t="shared" si="15"/>
        <v>0</v>
      </c>
      <c r="AK20" s="57">
        <f t="shared" si="16"/>
        <v>0</v>
      </c>
      <c r="AL20" s="57">
        <f t="shared" si="17"/>
        <v>0</v>
      </c>
      <c r="AM20" s="58">
        <f t="shared" si="18"/>
        <v>-232.61251014876115</v>
      </c>
      <c r="AN20" s="59">
        <f t="shared" si="19"/>
        <v>0</v>
      </c>
      <c r="AO20" s="60">
        <f t="shared" si="20"/>
        <v>-238.61251014876115</v>
      </c>
      <c r="AP20" s="59">
        <f t="shared" si="21"/>
        <v>0</v>
      </c>
      <c r="AQ20" s="59">
        <f t="shared" si="22"/>
        <v>0</v>
      </c>
      <c r="AR20" s="61">
        <f t="shared" si="23"/>
        <v>0.10366088177575171</v>
      </c>
      <c r="AS20" s="59">
        <f t="shared" si="24"/>
        <v>0</v>
      </c>
      <c r="AT20" s="60">
        <f t="shared" si="25"/>
        <v>-232.61251014876115</v>
      </c>
      <c r="AU20" s="59">
        <f t="shared" si="54"/>
        <v>0</v>
      </c>
      <c r="AV20" s="60">
        <f t="shared" si="26"/>
        <v>-232.61251014876115</v>
      </c>
      <c r="AW20" s="59">
        <f t="shared" si="27"/>
        <v>0</v>
      </c>
      <c r="AX20" s="59">
        <f t="shared" si="28"/>
        <v>0</v>
      </c>
      <c r="AY20" s="59">
        <f t="shared" si="29"/>
        <v>0</v>
      </c>
      <c r="AZ20" s="59">
        <f t="shared" si="30"/>
        <v>0</v>
      </c>
      <c r="BA20" s="59">
        <f t="shared" si="31"/>
        <v>0</v>
      </c>
      <c r="BB20" s="60" t="b">
        <f t="shared" si="32"/>
        <v>0</v>
      </c>
      <c r="BC20" s="60" t="b">
        <f t="shared" si="33"/>
        <v>0</v>
      </c>
      <c r="BD20" s="15" t="b">
        <f t="shared" si="34"/>
        <v>0</v>
      </c>
      <c r="BE20" s="15">
        <f t="shared" si="35"/>
        <v>-0.00432383147933494</v>
      </c>
      <c r="BF20" s="103">
        <f t="shared" si="36"/>
        <v>0.10366088177575171</v>
      </c>
      <c r="BG20" s="103">
        <f t="shared" si="49"/>
        <v>0.10366088177575171</v>
      </c>
      <c r="BH20" s="104">
        <f t="shared" si="55"/>
        <v>15</v>
      </c>
      <c r="BI20" s="105">
        <f t="shared" si="37"/>
        <v>0.10366088177575171</v>
      </c>
      <c r="BJ20" s="94">
        <v>4</v>
      </c>
      <c r="BK20" s="60">
        <f t="shared" si="56"/>
        <v>0.10366088177575171</v>
      </c>
      <c r="BL20" s="106">
        <f t="shared" si="50"/>
        <v>0.41464352710300684</v>
      </c>
      <c r="BM20" s="59"/>
      <c r="BN20" s="59"/>
      <c r="BO20" s="96">
        <f t="shared" si="51"/>
        <v>0.17</v>
      </c>
      <c r="BP20" s="107">
        <v>18.31</v>
      </c>
      <c r="BQ20" s="108">
        <v>22.74</v>
      </c>
      <c r="BR20" s="109">
        <v>22.49</v>
      </c>
      <c r="BS20" s="60"/>
      <c r="BT20" s="60"/>
      <c r="BU20" s="60"/>
      <c r="BV20" s="60"/>
      <c r="BW20" s="59"/>
      <c r="BX20" s="88"/>
      <c r="BY20" s="88"/>
      <c r="BZ20" s="88"/>
      <c r="CA20" s="15"/>
      <c r="CB20" s="72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</row>
    <row r="21" spans="1:208" ht="12.75">
      <c r="A21" s="129"/>
      <c r="B21" s="129" t="s">
        <v>64</v>
      </c>
      <c r="C21" s="129">
        <f>C16/C14</f>
        <v>-0.0009090909090909091</v>
      </c>
      <c r="D21" s="129"/>
      <c r="E21" s="129"/>
      <c r="F21" s="129">
        <f t="shared" si="52"/>
        <v>16</v>
      </c>
      <c r="G21" s="129">
        <f t="shared" si="38"/>
        <v>0.272</v>
      </c>
      <c r="H21" s="133">
        <v>1</v>
      </c>
      <c r="I21" s="129">
        <f t="shared" si="0"/>
        <v>-12</v>
      </c>
      <c r="J21" s="129">
        <f t="shared" si="1"/>
        <v>35.529984000000006</v>
      </c>
      <c r="K21" s="129">
        <f t="shared" si="39"/>
        <v>1.3711542582802185</v>
      </c>
      <c r="L21" s="129">
        <f t="shared" si="2"/>
        <v>6.68557712914011</v>
      </c>
      <c r="M21" s="129">
        <f t="shared" si="40"/>
        <v>0.272</v>
      </c>
      <c r="N21" s="129">
        <f t="shared" si="3"/>
        <v>0.7553961630373626</v>
      </c>
      <c r="O21" s="129">
        <f t="shared" si="4"/>
        <v>0.12814800651167993</v>
      </c>
      <c r="P21" s="129">
        <f t="shared" si="5"/>
        <v>1.6320000000000001</v>
      </c>
      <c r="Q21" s="129">
        <f t="shared" si="6"/>
        <v>0</v>
      </c>
      <c r="R21" s="15">
        <f t="shared" si="7"/>
        <v>0</v>
      </c>
      <c r="S21" s="110">
        <f t="shared" si="41"/>
        <v>1.7601480065116801</v>
      </c>
      <c r="T21" s="111">
        <f t="shared" si="53"/>
        <v>0.272</v>
      </c>
      <c r="U21" s="112">
        <f t="shared" si="42"/>
        <v>1.7601480065116801</v>
      </c>
      <c r="V21" s="15"/>
      <c r="W21" s="88">
        <f t="shared" si="43"/>
        <v>3.0720000000000005</v>
      </c>
      <c r="X21" s="88">
        <f t="shared" si="44"/>
        <v>83.072</v>
      </c>
      <c r="Y21" s="56">
        <f t="shared" si="45"/>
        <v>0.03654998547343524</v>
      </c>
      <c r="Z21" s="56">
        <f t="shared" si="8"/>
        <v>0.03654998547343524</v>
      </c>
      <c r="AA21" s="15">
        <f t="shared" si="9"/>
        <v>1.0000510204081632</v>
      </c>
      <c r="AB21" s="15">
        <f t="shared" si="10"/>
        <v>-11.986236428363906</v>
      </c>
      <c r="AC21" s="15">
        <f t="shared" si="11"/>
        <v>35.92823593049124</v>
      </c>
      <c r="AD21" s="15">
        <f t="shared" si="46"/>
        <v>0</v>
      </c>
      <c r="AE21" s="15">
        <f t="shared" si="47"/>
        <v>5.992812458444278</v>
      </c>
      <c r="AF21" s="15">
        <f t="shared" si="48"/>
        <v>-0.006255817801166588</v>
      </c>
      <c r="AG21" s="15">
        <f t="shared" si="12"/>
        <v>1.5707963267948966</v>
      </c>
      <c r="AH21" s="56">
        <f t="shared" si="13"/>
        <v>-0.006307157383707462</v>
      </c>
      <c r="AI21" s="15">
        <f t="shared" si="14"/>
        <v>0.7853981633974483</v>
      </c>
      <c r="AJ21" s="15">
        <f t="shared" si="15"/>
        <v>0</v>
      </c>
      <c r="AK21" s="57">
        <f t="shared" si="16"/>
        <v>0</v>
      </c>
      <c r="AL21" s="57">
        <f t="shared" si="17"/>
        <v>0</v>
      </c>
      <c r="AM21" s="58">
        <f t="shared" si="18"/>
        <v>-232.8830020337199</v>
      </c>
      <c r="AN21" s="59">
        <f t="shared" si="19"/>
        <v>0</v>
      </c>
      <c r="AO21" s="60">
        <f t="shared" si="20"/>
        <v>-238.8830020337199</v>
      </c>
      <c r="AP21" s="59">
        <f t="shared" si="21"/>
        <v>0</v>
      </c>
      <c r="AQ21" s="59">
        <f t="shared" si="22"/>
        <v>0</v>
      </c>
      <c r="AR21" s="61">
        <f t="shared" si="23"/>
        <v>0.09351310066758324</v>
      </c>
      <c r="AS21" s="59">
        <f t="shared" si="24"/>
        <v>0</v>
      </c>
      <c r="AT21" s="60">
        <f t="shared" si="25"/>
        <v>-232.8830020337199</v>
      </c>
      <c r="AU21" s="59">
        <f t="shared" si="54"/>
        <v>0</v>
      </c>
      <c r="AV21" s="60">
        <f t="shared" si="26"/>
        <v>-232.8830020337199</v>
      </c>
      <c r="AW21" s="59">
        <f t="shared" si="27"/>
        <v>0</v>
      </c>
      <c r="AX21" s="59">
        <f t="shared" si="28"/>
        <v>0</v>
      </c>
      <c r="AY21" s="59">
        <f t="shared" si="29"/>
        <v>0</v>
      </c>
      <c r="AZ21" s="59">
        <f t="shared" si="30"/>
        <v>0</v>
      </c>
      <c r="BA21" s="59">
        <f t="shared" si="31"/>
        <v>0</v>
      </c>
      <c r="BB21" s="60" t="b">
        <f t="shared" si="32"/>
        <v>0</v>
      </c>
      <c r="BC21" s="60" t="b">
        <f t="shared" si="33"/>
        <v>0</v>
      </c>
      <c r="BD21" s="15" t="b">
        <f t="shared" si="34"/>
        <v>0</v>
      </c>
      <c r="BE21" s="15">
        <f t="shared" si="35"/>
        <v>-0.006255817801166588</v>
      </c>
      <c r="BF21" s="103">
        <f t="shared" si="36"/>
        <v>0.09351310066758324</v>
      </c>
      <c r="BG21" s="103">
        <f t="shared" si="49"/>
        <v>0.09351310066758324</v>
      </c>
      <c r="BH21" s="104">
        <f t="shared" si="55"/>
        <v>16</v>
      </c>
      <c r="BI21" s="105">
        <f t="shared" si="37"/>
        <v>0.09351310066758324</v>
      </c>
      <c r="BJ21" s="94">
        <v>2</v>
      </c>
      <c r="BK21" s="60">
        <f t="shared" si="56"/>
        <v>0.09351310066758324</v>
      </c>
      <c r="BL21" s="106">
        <f t="shared" si="50"/>
        <v>0.18702620133516648</v>
      </c>
      <c r="BM21" s="59"/>
      <c r="BN21" s="59"/>
      <c r="BO21" s="96">
        <f t="shared" si="51"/>
        <v>0.18000000000000002</v>
      </c>
      <c r="BP21" s="107">
        <v>19.27</v>
      </c>
      <c r="BQ21" s="108">
        <v>23.98</v>
      </c>
      <c r="BR21" s="109">
        <v>23.69</v>
      </c>
      <c r="BS21" s="60"/>
      <c r="BT21" s="60"/>
      <c r="BU21" s="60"/>
      <c r="BV21" s="60"/>
      <c r="BW21" s="59"/>
      <c r="BX21" s="88"/>
      <c r="BY21" s="88"/>
      <c r="BZ21" s="88"/>
      <c r="CA21" s="15"/>
      <c r="CB21" s="72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</row>
    <row r="22" spans="1:208" ht="12.75">
      <c r="A22" s="129"/>
      <c r="B22" s="129" t="s">
        <v>65</v>
      </c>
      <c r="C22" s="129">
        <f>C17/C14</f>
        <v>-6.2</v>
      </c>
      <c r="D22" s="129"/>
      <c r="E22" s="129"/>
      <c r="F22" s="129">
        <f t="shared" si="52"/>
        <v>17</v>
      </c>
      <c r="G22" s="129">
        <f t="shared" si="38"/>
        <v>0.289</v>
      </c>
      <c r="H22" s="133">
        <v>1</v>
      </c>
      <c r="I22" s="129">
        <f t="shared" si="0"/>
        <v>-12</v>
      </c>
      <c r="J22" s="129">
        <f t="shared" si="1"/>
        <v>35.505520999999995</v>
      </c>
      <c r="K22" s="129">
        <f t="shared" si="39"/>
        <v>1.4063840158363652</v>
      </c>
      <c r="L22" s="129">
        <f t="shared" si="2"/>
        <v>6.703192007918183</v>
      </c>
      <c r="M22" s="129">
        <f t="shared" si="40"/>
        <v>0.289</v>
      </c>
      <c r="N22" s="129">
        <f t="shared" si="3"/>
        <v>0.7798770511992683</v>
      </c>
      <c r="O22" s="129">
        <f t="shared" si="4"/>
        <v>0.13995376678472163</v>
      </c>
      <c r="P22" s="129">
        <f t="shared" si="5"/>
        <v>1.734</v>
      </c>
      <c r="Q22" s="129">
        <f t="shared" si="6"/>
        <v>0</v>
      </c>
      <c r="R22" s="15">
        <f t="shared" si="7"/>
        <v>0</v>
      </c>
      <c r="S22" s="110">
        <f t="shared" si="41"/>
        <v>1.8739537667847217</v>
      </c>
      <c r="T22" s="111">
        <f t="shared" si="53"/>
        <v>0.289</v>
      </c>
      <c r="U22" s="112">
        <f t="shared" si="42"/>
        <v>1.8739537667847217</v>
      </c>
      <c r="V22" s="15"/>
      <c r="W22" s="88">
        <f t="shared" si="43"/>
        <v>3.2640000000000007</v>
      </c>
      <c r="X22" s="88">
        <f t="shared" si="44"/>
        <v>83.264</v>
      </c>
      <c r="Y22" s="56">
        <f t="shared" si="45"/>
        <v>0.03461302600236138</v>
      </c>
      <c r="Z22" s="56">
        <f t="shared" si="8"/>
        <v>0.03461302600236138</v>
      </c>
      <c r="AA22" s="15">
        <f t="shared" si="9"/>
        <v>1.0000510204081632</v>
      </c>
      <c r="AB22" s="15">
        <f t="shared" si="10"/>
        <v>-11.98620875751432</v>
      </c>
      <c r="AC22" s="15">
        <f t="shared" si="11"/>
        <v>35.93197200956432</v>
      </c>
      <c r="AD22" s="15">
        <f t="shared" si="46"/>
        <v>0</v>
      </c>
      <c r="AE22" s="15">
        <f t="shared" si="47"/>
        <v>5.992798623725338</v>
      </c>
      <c r="AF22" s="15">
        <f t="shared" si="48"/>
        <v>-0.00819267845281945</v>
      </c>
      <c r="AG22" s="15">
        <f t="shared" si="12"/>
        <v>1.5707963267948966</v>
      </c>
      <c r="AH22" s="56">
        <f t="shared" si="13"/>
        <v>-0.008244116854781325</v>
      </c>
      <c r="AI22" s="15">
        <f t="shared" si="14"/>
        <v>0.7853981633974483</v>
      </c>
      <c r="AJ22" s="15">
        <f t="shared" si="15"/>
        <v>0</v>
      </c>
      <c r="AK22" s="57">
        <f t="shared" si="16"/>
        <v>0</v>
      </c>
      <c r="AL22" s="57">
        <f t="shared" si="17"/>
        <v>0</v>
      </c>
      <c r="AM22" s="58">
        <f t="shared" si="18"/>
        <v>-233.15417635967023</v>
      </c>
      <c r="AN22" s="59">
        <f t="shared" si="19"/>
        <v>0</v>
      </c>
      <c r="AO22" s="60">
        <f t="shared" si="20"/>
        <v>-239.15417635967023</v>
      </c>
      <c r="AP22" s="59">
        <f t="shared" si="21"/>
        <v>0</v>
      </c>
      <c r="AQ22" s="59">
        <f t="shared" si="22"/>
        <v>0</v>
      </c>
      <c r="AR22" s="61">
        <f t="shared" si="23"/>
        <v>0.08386430983281044</v>
      </c>
      <c r="AS22" s="59">
        <f t="shared" si="24"/>
        <v>0</v>
      </c>
      <c r="AT22" s="60">
        <f t="shared" si="25"/>
        <v>-233.15417635967023</v>
      </c>
      <c r="AU22" s="59">
        <f t="shared" si="54"/>
        <v>0</v>
      </c>
      <c r="AV22" s="60">
        <f t="shared" si="26"/>
        <v>-233.15417635967023</v>
      </c>
      <c r="AW22" s="59">
        <f t="shared" si="27"/>
        <v>0</v>
      </c>
      <c r="AX22" s="59">
        <f t="shared" si="28"/>
        <v>0</v>
      </c>
      <c r="AY22" s="59">
        <f t="shared" si="29"/>
        <v>0</v>
      </c>
      <c r="AZ22" s="59">
        <f t="shared" si="30"/>
        <v>0</v>
      </c>
      <c r="BA22" s="59">
        <f t="shared" si="31"/>
        <v>0</v>
      </c>
      <c r="BB22" s="60" t="b">
        <f t="shared" si="32"/>
        <v>0</v>
      </c>
      <c r="BC22" s="60" t="b">
        <f t="shared" si="33"/>
        <v>0</v>
      </c>
      <c r="BD22" s="15" t="b">
        <f t="shared" si="34"/>
        <v>0</v>
      </c>
      <c r="BE22" s="15">
        <f t="shared" si="35"/>
        <v>-0.00819267845281945</v>
      </c>
      <c r="BF22" s="103">
        <f t="shared" si="36"/>
        <v>0.08386430983281044</v>
      </c>
      <c r="BG22" s="103">
        <f t="shared" si="49"/>
        <v>0.08386430983281044</v>
      </c>
      <c r="BH22" s="104">
        <f t="shared" si="55"/>
        <v>17</v>
      </c>
      <c r="BI22" s="105">
        <f t="shared" si="37"/>
        <v>0.08386430983281044</v>
      </c>
      <c r="BJ22" s="94">
        <v>4</v>
      </c>
      <c r="BK22" s="60">
        <f t="shared" si="56"/>
        <v>0.08386430983281044</v>
      </c>
      <c r="BL22" s="106">
        <f t="shared" si="50"/>
        <v>0.3354572393312418</v>
      </c>
      <c r="BM22" s="59"/>
      <c r="BN22" s="59"/>
      <c r="BO22" s="96">
        <f t="shared" si="51"/>
        <v>0.19000000000000003</v>
      </c>
      <c r="BP22" s="107">
        <v>20.23</v>
      </c>
      <c r="BQ22" s="108">
        <v>25.22</v>
      </c>
      <c r="BR22" s="109">
        <v>24.88</v>
      </c>
      <c r="BS22" s="60"/>
      <c r="BT22" s="60"/>
      <c r="BU22" s="60"/>
      <c r="BV22" s="60"/>
      <c r="BW22" s="59"/>
      <c r="BX22" s="88"/>
      <c r="BY22" s="88"/>
      <c r="BZ22" s="88"/>
      <c r="CA22" s="15"/>
      <c r="CB22" s="72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</row>
    <row r="23" spans="1:208" ht="12.75">
      <c r="A23" s="129"/>
      <c r="B23" s="129"/>
      <c r="C23" s="129"/>
      <c r="D23" s="129"/>
      <c r="E23" s="129"/>
      <c r="F23" s="129">
        <f t="shared" si="52"/>
        <v>18</v>
      </c>
      <c r="G23" s="129">
        <f t="shared" si="38"/>
        <v>0.306</v>
      </c>
      <c r="H23" s="133">
        <v>1</v>
      </c>
      <c r="I23" s="129">
        <f t="shared" si="0"/>
        <v>-12</v>
      </c>
      <c r="J23" s="129">
        <f t="shared" si="1"/>
        <v>35.481635999999995</v>
      </c>
      <c r="K23" s="129">
        <f t="shared" si="39"/>
        <v>1.4399499991319218</v>
      </c>
      <c r="L23" s="129">
        <f t="shared" si="2"/>
        <v>6.719974999565961</v>
      </c>
      <c r="M23" s="129">
        <f t="shared" si="40"/>
        <v>0.306</v>
      </c>
      <c r="N23" s="129">
        <f t="shared" si="3"/>
        <v>0.8037662945796821</v>
      </c>
      <c r="O23" s="129">
        <f t="shared" si="4"/>
        <v>0.15205182244045395</v>
      </c>
      <c r="P23" s="129">
        <f t="shared" si="5"/>
        <v>1.8359999999999999</v>
      </c>
      <c r="Q23" s="129">
        <f t="shared" si="6"/>
        <v>0</v>
      </c>
      <c r="R23" s="15">
        <f t="shared" si="7"/>
        <v>0</v>
      </c>
      <c r="S23" s="110">
        <f t="shared" si="41"/>
        <v>1.9880518224404538</v>
      </c>
      <c r="T23" s="111">
        <f t="shared" si="53"/>
        <v>0.306</v>
      </c>
      <c r="U23" s="112">
        <f t="shared" si="42"/>
        <v>1.9880518224404538</v>
      </c>
      <c r="V23" s="15"/>
      <c r="W23" s="88">
        <f t="shared" si="43"/>
        <v>3.456000000000001</v>
      </c>
      <c r="X23" s="88">
        <f t="shared" si="44"/>
        <v>83.456</v>
      </c>
      <c r="Y23" s="56">
        <f t="shared" si="45"/>
        <v>0.03267119195277424</v>
      </c>
      <c r="Z23" s="56">
        <f t="shared" si="8"/>
        <v>0.03267119195277424</v>
      </c>
      <c r="AA23" s="15">
        <f t="shared" si="9"/>
        <v>1.0000510204081632</v>
      </c>
      <c r="AB23" s="15">
        <f t="shared" si="10"/>
        <v>-11.986181017027898</v>
      </c>
      <c r="AC23" s="15">
        <f t="shared" si="11"/>
        <v>35.93572502287806</v>
      </c>
      <c r="AD23" s="15">
        <f t="shared" si="46"/>
        <v>0</v>
      </c>
      <c r="AE23" s="15">
        <f t="shared" si="47"/>
        <v>5.992784754189756</v>
      </c>
      <c r="AF23" s="15">
        <f t="shared" si="48"/>
        <v>-0.010134413434295296</v>
      </c>
      <c r="AG23" s="15">
        <f t="shared" si="12"/>
        <v>1.5707963267948966</v>
      </c>
      <c r="AH23" s="56">
        <f t="shared" si="13"/>
        <v>-0.010185950904368468</v>
      </c>
      <c r="AI23" s="15">
        <f t="shared" si="14"/>
        <v>0.7853981633974483</v>
      </c>
      <c r="AJ23" s="15">
        <f t="shared" si="15"/>
        <v>0</v>
      </c>
      <c r="AK23" s="57">
        <f t="shared" si="16"/>
        <v>0</v>
      </c>
      <c r="AL23" s="57">
        <f t="shared" si="17"/>
        <v>0</v>
      </c>
      <c r="AM23" s="58">
        <f t="shared" si="18"/>
        <v>-233.42603312661242</v>
      </c>
      <c r="AN23" s="59">
        <f t="shared" si="19"/>
        <v>0</v>
      </c>
      <c r="AO23" s="60">
        <f t="shared" si="20"/>
        <v>-239.42603312661242</v>
      </c>
      <c r="AP23" s="59">
        <f t="shared" si="21"/>
        <v>0</v>
      </c>
      <c r="AQ23" s="59">
        <f t="shared" si="22"/>
        <v>0</v>
      </c>
      <c r="AR23" s="61">
        <f t="shared" si="23"/>
        <v>0.07471847485305166</v>
      </c>
      <c r="AS23" s="59">
        <f t="shared" si="24"/>
        <v>0</v>
      </c>
      <c r="AT23" s="60">
        <f t="shared" si="25"/>
        <v>-233.42603312661242</v>
      </c>
      <c r="AU23" s="59">
        <f t="shared" si="54"/>
        <v>0</v>
      </c>
      <c r="AV23" s="60">
        <f t="shared" si="26"/>
        <v>-233.42603312661242</v>
      </c>
      <c r="AW23" s="59">
        <f t="shared" si="27"/>
        <v>0</v>
      </c>
      <c r="AX23" s="59">
        <f t="shared" si="28"/>
        <v>0</v>
      </c>
      <c r="AY23" s="59">
        <f t="shared" si="29"/>
        <v>0</v>
      </c>
      <c r="AZ23" s="59">
        <f t="shared" si="30"/>
        <v>0</v>
      </c>
      <c r="BA23" s="59">
        <f t="shared" si="31"/>
        <v>0</v>
      </c>
      <c r="BB23" s="60" t="b">
        <f t="shared" si="32"/>
        <v>0</v>
      </c>
      <c r="BC23" s="60" t="b">
        <f t="shared" si="33"/>
        <v>0</v>
      </c>
      <c r="BD23" s="15" t="b">
        <f t="shared" si="34"/>
        <v>0</v>
      </c>
      <c r="BE23" s="15">
        <f t="shared" si="35"/>
        <v>-0.010134413434295296</v>
      </c>
      <c r="BF23" s="103">
        <f t="shared" si="36"/>
        <v>0.07471847485305166</v>
      </c>
      <c r="BG23" s="103">
        <f t="shared" si="49"/>
        <v>0.07471847485305166</v>
      </c>
      <c r="BH23" s="104">
        <f t="shared" si="55"/>
        <v>18</v>
      </c>
      <c r="BI23" s="105">
        <f t="shared" si="37"/>
        <v>0.07471847485305166</v>
      </c>
      <c r="BJ23" s="94">
        <v>2</v>
      </c>
      <c r="BK23" s="60">
        <f t="shared" si="56"/>
        <v>0.07471847485305166</v>
      </c>
      <c r="BL23" s="106">
        <f t="shared" si="50"/>
        <v>0.14943694970610333</v>
      </c>
      <c r="BM23" s="59"/>
      <c r="BN23" s="59"/>
      <c r="BO23" s="113">
        <f>BO22+0.01</f>
        <v>0.20000000000000004</v>
      </c>
      <c r="BP23" s="107">
        <v>21.19</v>
      </c>
      <c r="BQ23" s="108">
        <v>26.47</v>
      </c>
      <c r="BR23" s="109">
        <v>26.08</v>
      </c>
      <c r="BS23" s="60"/>
      <c r="BT23" s="60"/>
      <c r="BU23" s="60"/>
      <c r="BV23" s="60"/>
      <c r="BW23" s="59"/>
      <c r="BX23" s="88"/>
      <c r="BY23" s="88"/>
      <c r="BZ23" s="88"/>
      <c r="CA23" s="15"/>
      <c r="CB23" s="72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</row>
    <row r="24" spans="1:208" ht="12.75">
      <c r="A24" s="129"/>
      <c r="B24" s="129"/>
      <c r="C24" s="129"/>
      <c r="D24" s="129"/>
      <c r="E24" s="129"/>
      <c r="F24" s="129">
        <f t="shared" si="52"/>
        <v>19</v>
      </c>
      <c r="G24" s="129">
        <f t="shared" si="38"/>
        <v>0.32299999999999995</v>
      </c>
      <c r="H24" s="133">
        <v>1</v>
      </c>
      <c r="I24" s="129">
        <f t="shared" si="0"/>
        <v>-12</v>
      </c>
      <c r="J24" s="129">
        <f t="shared" si="1"/>
        <v>35.458329</v>
      </c>
      <c r="K24" s="129">
        <f t="shared" si="39"/>
        <v>1.4719660322167776</v>
      </c>
      <c r="L24" s="129">
        <f t="shared" si="2"/>
        <v>6.7359830161083885</v>
      </c>
      <c r="M24" s="129">
        <f t="shared" si="40"/>
        <v>0.32299999999999995</v>
      </c>
      <c r="N24" s="129">
        <f t="shared" si="3"/>
        <v>0.827117555162789</v>
      </c>
      <c r="O24" s="129">
        <f t="shared" si="4"/>
        <v>0.16442852662870516</v>
      </c>
      <c r="P24" s="129">
        <f t="shared" si="5"/>
        <v>1.9379999999999997</v>
      </c>
      <c r="Q24" s="129">
        <f t="shared" si="6"/>
        <v>0</v>
      </c>
      <c r="R24" s="15">
        <f t="shared" si="7"/>
        <v>0</v>
      </c>
      <c r="S24" s="110">
        <f t="shared" si="41"/>
        <v>2.102428526628705</v>
      </c>
      <c r="T24" s="111">
        <f t="shared" si="53"/>
        <v>0.323</v>
      </c>
      <c r="U24" s="112">
        <f t="shared" si="42"/>
        <v>2.102428526628705</v>
      </c>
      <c r="V24" s="15"/>
      <c r="W24" s="88">
        <f t="shared" si="43"/>
        <v>3.648000000000001</v>
      </c>
      <c r="X24" s="88">
        <f t="shared" si="44"/>
        <v>83.648</v>
      </c>
      <c r="Y24" s="56">
        <f t="shared" si="45"/>
        <v>0.03072448332467559</v>
      </c>
      <c r="Z24" s="56">
        <f t="shared" si="8"/>
        <v>0.03072448332467559</v>
      </c>
      <c r="AA24" s="15">
        <f t="shared" si="9"/>
        <v>1.0000510204081632</v>
      </c>
      <c r="AB24" s="15">
        <f t="shared" si="10"/>
        <v>-11.986153206904639</v>
      </c>
      <c r="AC24" s="15">
        <f t="shared" si="11"/>
        <v>35.939495027226215</v>
      </c>
      <c r="AD24" s="15">
        <f t="shared" si="46"/>
        <v>0</v>
      </c>
      <c r="AE24" s="15">
        <f t="shared" si="47"/>
        <v>5.992770849837532</v>
      </c>
      <c r="AF24" s="15">
        <f t="shared" si="48"/>
        <v>-0.012081022745592349</v>
      </c>
      <c r="AG24" s="15">
        <f t="shared" si="12"/>
        <v>1.5707963267948966</v>
      </c>
      <c r="AH24" s="56">
        <f t="shared" si="13"/>
        <v>-0.012132659532467116</v>
      </c>
      <c r="AI24" s="15">
        <f t="shared" si="14"/>
        <v>0.7853981633974483</v>
      </c>
      <c r="AJ24" s="15">
        <f t="shared" si="15"/>
        <v>0</v>
      </c>
      <c r="AK24" s="57">
        <f t="shared" si="16"/>
        <v>0</v>
      </c>
      <c r="AL24" s="57">
        <f t="shared" si="17"/>
        <v>0</v>
      </c>
      <c r="AM24" s="58">
        <f t="shared" si="18"/>
        <v>-233.69857233454624</v>
      </c>
      <c r="AN24" s="59">
        <f t="shared" si="19"/>
        <v>0</v>
      </c>
      <c r="AO24" s="60">
        <f t="shared" si="20"/>
        <v>-239.69857233454624</v>
      </c>
      <c r="AP24" s="59">
        <f t="shared" si="21"/>
        <v>0</v>
      </c>
      <c r="AQ24" s="59">
        <f t="shared" si="22"/>
        <v>0</v>
      </c>
      <c r="AR24" s="61">
        <f t="shared" si="23"/>
        <v>0.06607957128977902</v>
      </c>
      <c r="AS24" s="59">
        <f t="shared" si="24"/>
        <v>0</v>
      </c>
      <c r="AT24" s="60">
        <f t="shared" si="25"/>
        <v>-233.69857233454624</v>
      </c>
      <c r="AU24" s="59">
        <f t="shared" si="54"/>
        <v>0</v>
      </c>
      <c r="AV24" s="60">
        <f t="shared" si="26"/>
        <v>-233.69857233454624</v>
      </c>
      <c r="AW24" s="59">
        <f t="shared" si="27"/>
        <v>0</v>
      </c>
      <c r="AX24" s="59">
        <f t="shared" si="28"/>
        <v>0</v>
      </c>
      <c r="AY24" s="59">
        <f t="shared" si="29"/>
        <v>0</v>
      </c>
      <c r="AZ24" s="59">
        <f t="shared" si="30"/>
        <v>0</v>
      </c>
      <c r="BA24" s="59">
        <f t="shared" si="31"/>
        <v>0</v>
      </c>
      <c r="BB24" s="60" t="b">
        <f t="shared" si="32"/>
        <v>0</v>
      </c>
      <c r="BC24" s="60" t="b">
        <f t="shared" si="33"/>
        <v>0</v>
      </c>
      <c r="BD24" s="15" t="b">
        <f t="shared" si="34"/>
        <v>0</v>
      </c>
      <c r="BE24" s="15">
        <f t="shared" si="35"/>
        <v>-0.012081022745592349</v>
      </c>
      <c r="BF24" s="103">
        <f t="shared" si="36"/>
        <v>0.06607957128977902</v>
      </c>
      <c r="BG24" s="103">
        <f t="shared" si="49"/>
        <v>0.06607957128977902</v>
      </c>
      <c r="BH24" s="104">
        <f t="shared" si="55"/>
        <v>19</v>
      </c>
      <c r="BI24" s="105">
        <f t="shared" si="37"/>
        <v>0.06607957128977902</v>
      </c>
      <c r="BJ24" s="94">
        <v>4</v>
      </c>
      <c r="BK24" s="60">
        <f t="shared" si="56"/>
        <v>0.06607957128977902</v>
      </c>
      <c r="BL24" s="106">
        <f t="shared" si="50"/>
        <v>0.2643182851591161</v>
      </c>
      <c r="BM24" s="59"/>
      <c r="BN24" s="59"/>
      <c r="BO24" s="113">
        <f aca="true" t="shared" si="57" ref="BO24:BO50">BO23+0.01</f>
        <v>0.21000000000000005</v>
      </c>
      <c r="BP24" s="107">
        <f>BP23+BW$25</f>
        <v>22.152</v>
      </c>
      <c r="BQ24" s="108">
        <f>BQ23+BX$25</f>
        <v>27.677</v>
      </c>
      <c r="BR24" s="109">
        <f>BR23+BY$25</f>
        <v>27.276</v>
      </c>
      <c r="BS24" s="60"/>
      <c r="BT24" s="60"/>
      <c r="BU24" s="60"/>
      <c r="BV24" s="60"/>
      <c r="BW24" s="59"/>
      <c r="BX24" s="88"/>
      <c r="BY24" s="88"/>
      <c r="BZ24" s="88"/>
      <c r="CA24" s="15"/>
      <c r="CB24" s="72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</row>
    <row r="25" spans="1:208" ht="12.75">
      <c r="A25" s="129"/>
      <c r="B25" s="129"/>
      <c r="C25" s="129"/>
      <c r="D25" s="129"/>
      <c r="E25" s="129"/>
      <c r="F25" s="129">
        <f t="shared" si="52"/>
        <v>20</v>
      </c>
      <c r="G25" s="129">
        <f t="shared" si="38"/>
        <v>0.34</v>
      </c>
      <c r="H25" s="133">
        <v>1</v>
      </c>
      <c r="I25" s="129">
        <f t="shared" si="0"/>
        <v>-12</v>
      </c>
      <c r="J25" s="129">
        <f t="shared" si="1"/>
        <v>35.4356</v>
      </c>
      <c r="K25" s="129">
        <f t="shared" si="39"/>
        <v>1.5025311976794347</v>
      </c>
      <c r="L25" s="129">
        <f t="shared" si="2"/>
        <v>6.751265598839717</v>
      </c>
      <c r="M25" s="129">
        <f t="shared" si="40"/>
        <v>0.34</v>
      </c>
      <c r="N25" s="129">
        <f t="shared" si="3"/>
        <v>0.849977565924807</v>
      </c>
      <c r="O25" s="129">
        <f t="shared" si="4"/>
        <v>0.17707113534529667</v>
      </c>
      <c r="P25" s="129">
        <f t="shared" si="5"/>
        <v>2.04</v>
      </c>
      <c r="Q25" s="129">
        <f t="shared" si="6"/>
        <v>0</v>
      </c>
      <c r="R25" s="15">
        <f t="shared" si="7"/>
        <v>0</v>
      </c>
      <c r="S25" s="110">
        <f t="shared" si="41"/>
        <v>2.2170711353452965</v>
      </c>
      <c r="T25" s="111">
        <f t="shared" si="53"/>
        <v>0.34</v>
      </c>
      <c r="U25" s="112">
        <f t="shared" si="42"/>
        <v>2.2170711353452965</v>
      </c>
      <c r="V25" s="15"/>
      <c r="W25" s="88">
        <f t="shared" si="43"/>
        <v>3.840000000000001</v>
      </c>
      <c r="X25" s="88">
        <f t="shared" si="44"/>
        <v>83.84</v>
      </c>
      <c r="Y25" s="56">
        <f t="shared" si="45"/>
        <v>0.02877290011806366</v>
      </c>
      <c r="Z25" s="56">
        <f t="shared" si="8"/>
        <v>0.02877290011806366</v>
      </c>
      <c r="AA25" s="15">
        <f t="shared" si="9"/>
        <v>1.0000510204081632</v>
      </c>
      <c r="AB25" s="15">
        <f t="shared" si="10"/>
        <v>-11.986125327144544</v>
      </c>
      <c r="AC25" s="15">
        <f t="shared" si="11"/>
        <v>35.94328207954508</v>
      </c>
      <c r="AD25" s="15">
        <f t="shared" si="46"/>
        <v>0</v>
      </c>
      <c r="AE25" s="15">
        <f t="shared" si="47"/>
        <v>5.992756910668667</v>
      </c>
      <c r="AF25" s="15">
        <f t="shared" si="48"/>
        <v>-0.014032506386712378</v>
      </c>
      <c r="AG25" s="15">
        <f t="shared" si="12"/>
        <v>1.5707963267948966</v>
      </c>
      <c r="AH25" s="56">
        <f t="shared" si="13"/>
        <v>-0.014084242739079045</v>
      </c>
      <c r="AI25" s="15">
        <f t="shared" si="14"/>
        <v>0.7853981633974483</v>
      </c>
      <c r="AJ25" s="15">
        <f t="shared" si="15"/>
        <v>0</v>
      </c>
      <c r="AK25" s="57">
        <f t="shared" si="16"/>
        <v>0</v>
      </c>
      <c r="AL25" s="57">
        <f t="shared" si="17"/>
        <v>0</v>
      </c>
      <c r="AM25" s="58">
        <f t="shared" si="18"/>
        <v>-233.9717939834719</v>
      </c>
      <c r="AN25" s="59">
        <f t="shared" si="19"/>
        <v>0</v>
      </c>
      <c r="AO25" s="60">
        <f t="shared" si="20"/>
        <v>-239.9717939834719</v>
      </c>
      <c r="AP25" s="59">
        <f t="shared" si="21"/>
        <v>0</v>
      </c>
      <c r="AQ25" s="59">
        <f t="shared" si="22"/>
        <v>0</v>
      </c>
      <c r="AR25" s="61">
        <f t="shared" si="23"/>
        <v>0.057951584684284956</v>
      </c>
      <c r="AS25" s="59">
        <f t="shared" si="24"/>
        <v>0</v>
      </c>
      <c r="AT25" s="60">
        <f t="shared" si="25"/>
        <v>-233.9717939834719</v>
      </c>
      <c r="AU25" s="59">
        <f t="shared" si="54"/>
        <v>0</v>
      </c>
      <c r="AV25" s="60">
        <f t="shared" si="26"/>
        <v>-233.9717939834719</v>
      </c>
      <c r="AW25" s="59">
        <f t="shared" si="27"/>
        <v>0</v>
      </c>
      <c r="AX25" s="59">
        <f t="shared" si="28"/>
        <v>0</v>
      </c>
      <c r="AY25" s="59">
        <f t="shared" si="29"/>
        <v>0</v>
      </c>
      <c r="AZ25" s="59">
        <f t="shared" si="30"/>
        <v>0</v>
      </c>
      <c r="BA25" s="59">
        <f t="shared" si="31"/>
        <v>0</v>
      </c>
      <c r="BB25" s="60" t="b">
        <f t="shared" si="32"/>
        <v>0</v>
      </c>
      <c r="BC25" s="60" t="b">
        <f t="shared" si="33"/>
        <v>0</v>
      </c>
      <c r="BD25" s="15" t="b">
        <f t="shared" si="34"/>
        <v>0</v>
      </c>
      <c r="BE25" s="15">
        <f t="shared" si="35"/>
        <v>-0.014032506386712378</v>
      </c>
      <c r="BF25" s="103">
        <f t="shared" si="36"/>
        <v>0.057951584684284956</v>
      </c>
      <c r="BG25" s="103">
        <f t="shared" si="49"/>
        <v>0.057951584684284956</v>
      </c>
      <c r="BH25" s="104">
        <f t="shared" si="55"/>
        <v>20</v>
      </c>
      <c r="BI25" s="105">
        <f t="shared" si="37"/>
        <v>0.057951584684284956</v>
      </c>
      <c r="BJ25" s="94">
        <v>2</v>
      </c>
      <c r="BK25" s="60">
        <f t="shared" si="56"/>
        <v>0.057951584684284956</v>
      </c>
      <c r="BL25" s="106">
        <f t="shared" si="50"/>
        <v>0.11590316936856991</v>
      </c>
      <c r="BM25" s="59"/>
      <c r="BN25" s="59"/>
      <c r="BO25" s="113">
        <f t="shared" si="57"/>
        <v>0.22000000000000006</v>
      </c>
      <c r="BP25" s="107">
        <f aca="true" t="shared" si="58" ref="BP25:BP43">BP24+BW$25</f>
        <v>23.114</v>
      </c>
      <c r="BQ25" s="108">
        <f aca="true" t="shared" si="59" ref="BQ25:BQ33">BQ24+BX$25</f>
        <v>28.884</v>
      </c>
      <c r="BR25" s="109">
        <f aca="true" t="shared" si="60" ref="BR25:BR33">BR24+BY$25</f>
        <v>28.472</v>
      </c>
      <c r="BS25" s="60"/>
      <c r="BT25" s="60"/>
      <c r="BU25" s="60"/>
      <c r="BV25" s="60"/>
      <c r="BW25" s="114">
        <f>(30.81-21.19)/10</f>
        <v>0.9619999999999997</v>
      </c>
      <c r="BX25" s="114">
        <f>(38.54-26.47)/10</f>
        <v>1.207</v>
      </c>
      <c r="BY25" s="114">
        <f>(38.04-26.08)/10</f>
        <v>1.1960000000000002</v>
      </c>
      <c r="BZ25" s="88"/>
      <c r="CA25" s="15"/>
      <c r="CB25" s="72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</row>
    <row r="26" spans="1:208" ht="12.75">
      <c r="A26" s="129"/>
      <c r="B26" s="129"/>
      <c r="C26" s="129"/>
      <c r="D26" s="129"/>
      <c r="E26" s="129"/>
      <c r="F26" s="129">
        <f t="shared" si="52"/>
        <v>21</v>
      </c>
      <c r="G26" s="129">
        <f t="shared" si="38"/>
        <v>0.357</v>
      </c>
      <c r="H26" s="133">
        <v>1</v>
      </c>
      <c r="I26" s="129">
        <f t="shared" si="0"/>
        <v>-12</v>
      </c>
      <c r="J26" s="129">
        <f t="shared" si="1"/>
        <v>35.413449</v>
      </c>
      <c r="K26" s="129">
        <f t="shared" si="39"/>
        <v>1.5317323525995004</v>
      </c>
      <c r="L26" s="129">
        <f t="shared" si="2"/>
        <v>6.76586617629975</v>
      </c>
      <c r="M26" s="129">
        <f t="shared" si="40"/>
        <v>0.357</v>
      </c>
      <c r="N26" s="129">
        <f t="shared" si="3"/>
        <v>0.8723873378715945</v>
      </c>
      <c r="O26" s="129">
        <f t="shared" si="4"/>
        <v>0.18996769325542767</v>
      </c>
      <c r="P26" s="129">
        <f t="shared" si="5"/>
        <v>2.142</v>
      </c>
      <c r="Q26" s="129">
        <f t="shared" si="6"/>
        <v>0</v>
      </c>
      <c r="R26" s="15">
        <f t="shared" si="7"/>
        <v>0</v>
      </c>
      <c r="S26" s="110">
        <f t="shared" si="41"/>
        <v>2.3319676932554274</v>
      </c>
      <c r="T26" s="111">
        <f t="shared" si="53"/>
        <v>0.357</v>
      </c>
      <c r="U26" s="112">
        <f t="shared" si="42"/>
        <v>2.3319676932554274</v>
      </c>
      <c r="V26" s="15"/>
      <c r="W26" s="88">
        <f t="shared" si="43"/>
        <v>4.032000000000001</v>
      </c>
      <c r="X26" s="88">
        <f t="shared" si="44"/>
        <v>84.032</v>
      </c>
      <c r="Y26" s="56">
        <f t="shared" si="45"/>
        <v>0.02681644233293934</v>
      </c>
      <c r="Z26" s="56">
        <f t="shared" si="8"/>
        <v>0.02681644233293934</v>
      </c>
      <c r="AA26" s="15">
        <f t="shared" si="9"/>
        <v>1.0000510204081632</v>
      </c>
      <c r="AB26" s="15">
        <f t="shared" si="10"/>
        <v>-11.986097377747614</v>
      </c>
      <c r="AC26" s="15">
        <f t="shared" si="11"/>
        <v>35.94708623691351</v>
      </c>
      <c r="AD26" s="15">
        <f t="shared" si="46"/>
        <v>0</v>
      </c>
      <c r="AE26" s="15">
        <f t="shared" si="47"/>
        <v>5.99274293668316</v>
      </c>
      <c r="AF26" s="15">
        <f t="shared" si="48"/>
        <v>-0.01598886435765451</v>
      </c>
      <c r="AG26" s="15">
        <f t="shared" si="12"/>
        <v>1.5707963267948966</v>
      </c>
      <c r="AH26" s="56">
        <f t="shared" si="13"/>
        <v>-0.016040700524203366</v>
      </c>
      <c r="AI26" s="15">
        <f t="shared" si="14"/>
        <v>0.7853981633974483</v>
      </c>
      <c r="AJ26" s="15">
        <f t="shared" si="15"/>
        <v>0</v>
      </c>
      <c r="AK26" s="57">
        <f t="shared" si="16"/>
        <v>0</v>
      </c>
      <c r="AL26" s="57">
        <f t="shared" si="17"/>
        <v>0</v>
      </c>
      <c r="AM26" s="58">
        <f t="shared" si="18"/>
        <v>-234.24569807338932</v>
      </c>
      <c r="AN26" s="59">
        <f t="shared" si="19"/>
        <v>0</v>
      </c>
      <c r="AO26" s="60">
        <f t="shared" si="20"/>
        <v>-240.24569807338932</v>
      </c>
      <c r="AP26" s="59">
        <f t="shared" si="21"/>
        <v>0</v>
      </c>
      <c r="AQ26" s="59">
        <f t="shared" si="22"/>
        <v>0</v>
      </c>
      <c r="AR26" s="61">
        <f t="shared" si="23"/>
        <v>0.05033851055771045</v>
      </c>
      <c r="AS26" s="59">
        <f t="shared" si="24"/>
        <v>0</v>
      </c>
      <c r="AT26" s="60">
        <f t="shared" si="25"/>
        <v>-234.24569807338932</v>
      </c>
      <c r="AU26" s="59">
        <f t="shared" si="54"/>
        <v>0</v>
      </c>
      <c r="AV26" s="60">
        <f t="shared" si="26"/>
        <v>-234.24569807338932</v>
      </c>
      <c r="AW26" s="59">
        <f t="shared" si="27"/>
        <v>0</v>
      </c>
      <c r="AX26" s="59">
        <f t="shared" si="28"/>
        <v>0</v>
      </c>
      <c r="AY26" s="59">
        <f t="shared" si="29"/>
        <v>0</v>
      </c>
      <c r="AZ26" s="59">
        <f t="shared" si="30"/>
        <v>0</v>
      </c>
      <c r="BA26" s="59">
        <f t="shared" si="31"/>
        <v>0</v>
      </c>
      <c r="BB26" s="60" t="b">
        <f t="shared" si="32"/>
        <v>0</v>
      </c>
      <c r="BC26" s="60" t="b">
        <f t="shared" si="33"/>
        <v>0</v>
      </c>
      <c r="BD26" s="15" t="b">
        <f t="shared" si="34"/>
        <v>0</v>
      </c>
      <c r="BE26" s="15">
        <f t="shared" si="35"/>
        <v>-0.01598886435765451</v>
      </c>
      <c r="BF26" s="103">
        <f t="shared" si="36"/>
        <v>0.05033851055771045</v>
      </c>
      <c r="BG26" s="103">
        <f t="shared" si="49"/>
        <v>0.05033851055771045</v>
      </c>
      <c r="BH26" s="104">
        <f t="shared" si="55"/>
        <v>21</v>
      </c>
      <c r="BI26" s="105">
        <f t="shared" si="37"/>
        <v>0.05033851055771045</v>
      </c>
      <c r="BJ26" s="94">
        <v>4</v>
      </c>
      <c r="BK26" s="60">
        <f t="shared" si="56"/>
        <v>0.05033851055771045</v>
      </c>
      <c r="BL26" s="106">
        <f t="shared" si="50"/>
        <v>0.2013540422308418</v>
      </c>
      <c r="BM26" s="59"/>
      <c r="BN26" s="59"/>
      <c r="BO26" s="113">
        <f t="shared" si="57"/>
        <v>0.23000000000000007</v>
      </c>
      <c r="BP26" s="107">
        <f t="shared" si="58"/>
        <v>24.076</v>
      </c>
      <c r="BQ26" s="108">
        <f t="shared" si="59"/>
        <v>30.091</v>
      </c>
      <c r="BR26" s="109">
        <f t="shared" si="60"/>
        <v>29.668000000000003</v>
      </c>
      <c r="BS26" s="60"/>
      <c r="BT26" s="60"/>
      <c r="BU26" s="60"/>
      <c r="BV26" s="60"/>
      <c r="BW26" s="114">
        <f>(40.43-30.81)/10</f>
        <v>0.9620000000000001</v>
      </c>
      <c r="BX26" s="114">
        <f>(51.08-38.54)/10</f>
        <v>1.254</v>
      </c>
      <c r="BY26" s="114">
        <f>(50-38.04)/10</f>
        <v>1.1960000000000002</v>
      </c>
      <c r="BZ26" s="88"/>
      <c r="CA26" s="15"/>
      <c r="CB26" s="72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</row>
    <row r="27" spans="1:208" ht="12.75">
      <c r="A27" s="129"/>
      <c r="B27" s="129" t="s">
        <v>66</v>
      </c>
      <c r="C27" s="129">
        <f>C22</f>
        <v>-6.2</v>
      </c>
      <c r="D27" s="129"/>
      <c r="E27" s="129"/>
      <c r="F27" s="129">
        <f t="shared" si="52"/>
        <v>22</v>
      </c>
      <c r="G27" s="129">
        <f t="shared" si="38"/>
        <v>0.374</v>
      </c>
      <c r="H27" s="133">
        <v>1</v>
      </c>
      <c r="I27" s="129">
        <f t="shared" si="0"/>
        <v>-12</v>
      </c>
      <c r="J27" s="129">
        <f t="shared" si="1"/>
        <v>35.391876</v>
      </c>
      <c r="K27" s="129">
        <f t="shared" si="39"/>
        <v>1.5596461137065634</v>
      </c>
      <c r="L27" s="129">
        <f t="shared" si="2"/>
        <v>6.779823056853282</v>
      </c>
      <c r="M27" s="129">
        <f t="shared" si="40"/>
        <v>0.374</v>
      </c>
      <c r="N27" s="129">
        <f t="shared" si="3"/>
        <v>0.8943831106655867</v>
      </c>
      <c r="O27" s="129">
        <f t="shared" si="4"/>
        <v>0.20310693853771553</v>
      </c>
      <c r="P27" s="129">
        <f t="shared" si="5"/>
        <v>2.2439999999999998</v>
      </c>
      <c r="Q27" s="129">
        <f t="shared" si="6"/>
        <v>0</v>
      </c>
      <c r="R27" s="15">
        <f t="shared" si="7"/>
        <v>0</v>
      </c>
      <c r="S27" s="110">
        <f t="shared" si="41"/>
        <v>2.4471069385377153</v>
      </c>
      <c r="T27" s="111">
        <f t="shared" si="53"/>
        <v>0.374</v>
      </c>
      <c r="U27" s="112">
        <f t="shared" si="42"/>
        <v>2.4471069385377153</v>
      </c>
      <c r="V27" s="15"/>
      <c r="W27" s="88">
        <f t="shared" si="43"/>
        <v>4.224000000000001</v>
      </c>
      <c r="X27" s="88">
        <f t="shared" si="44"/>
        <v>84.224</v>
      </c>
      <c r="Y27" s="56">
        <f t="shared" si="45"/>
        <v>0.024855109969303513</v>
      </c>
      <c r="Z27" s="56">
        <f t="shared" si="8"/>
        <v>0.024855109969303513</v>
      </c>
      <c r="AA27" s="15">
        <f t="shared" si="9"/>
        <v>1.0000510204081632</v>
      </c>
      <c r="AB27" s="15">
        <f t="shared" si="10"/>
        <v>-11.986069358713847</v>
      </c>
      <c r="AC27" s="15">
        <f t="shared" si="11"/>
        <v>35.95090755655298</v>
      </c>
      <c r="AD27" s="15">
        <f t="shared" si="46"/>
        <v>0</v>
      </c>
      <c r="AE27" s="15">
        <f t="shared" si="47"/>
        <v>5.992728927881012</v>
      </c>
      <c r="AF27" s="15">
        <f t="shared" si="48"/>
        <v>-0.017950096658417847</v>
      </c>
      <c r="AG27" s="15">
        <f t="shared" si="12"/>
        <v>1.5707963267948966</v>
      </c>
      <c r="AH27" s="56">
        <f t="shared" si="13"/>
        <v>-0.018002032887839192</v>
      </c>
      <c r="AI27" s="15">
        <f t="shared" si="14"/>
        <v>0.7853981633974483</v>
      </c>
      <c r="AJ27" s="15">
        <f t="shared" si="15"/>
        <v>0</v>
      </c>
      <c r="AK27" s="57">
        <f t="shared" si="16"/>
        <v>0</v>
      </c>
      <c r="AL27" s="57">
        <f t="shared" si="17"/>
        <v>0</v>
      </c>
      <c r="AM27" s="58">
        <f t="shared" si="18"/>
        <v>-234.52028460429833</v>
      </c>
      <c r="AN27" s="59">
        <f t="shared" si="19"/>
        <v>0</v>
      </c>
      <c r="AO27" s="60">
        <f t="shared" si="20"/>
        <v>-240.52028460429833</v>
      </c>
      <c r="AP27" s="59">
        <f t="shared" si="21"/>
        <v>0</v>
      </c>
      <c r="AQ27" s="59">
        <f t="shared" si="22"/>
        <v>0</v>
      </c>
      <c r="AR27" s="61">
        <f t="shared" si="23"/>
        <v>0.04324435441103212</v>
      </c>
      <c r="AS27" s="59">
        <f t="shared" si="24"/>
        <v>0</v>
      </c>
      <c r="AT27" s="60">
        <f t="shared" si="25"/>
        <v>-234.52028460429833</v>
      </c>
      <c r="AU27" s="59">
        <f t="shared" si="54"/>
        <v>0</v>
      </c>
      <c r="AV27" s="60">
        <f t="shared" si="26"/>
        <v>-234.52028460429833</v>
      </c>
      <c r="AW27" s="59">
        <f t="shared" si="27"/>
        <v>0</v>
      </c>
      <c r="AX27" s="59">
        <f t="shared" si="28"/>
        <v>0</v>
      </c>
      <c r="AY27" s="59">
        <f t="shared" si="29"/>
        <v>0</v>
      </c>
      <c r="AZ27" s="59">
        <f t="shared" si="30"/>
        <v>0</v>
      </c>
      <c r="BA27" s="59">
        <f t="shared" si="31"/>
        <v>0</v>
      </c>
      <c r="BB27" s="60" t="b">
        <f t="shared" si="32"/>
        <v>0</v>
      </c>
      <c r="BC27" s="60" t="b">
        <f t="shared" si="33"/>
        <v>0</v>
      </c>
      <c r="BD27" s="15" t="b">
        <f t="shared" si="34"/>
        <v>0</v>
      </c>
      <c r="BE27" s="15">
        <f t="shared" si="35"/>
        <v>-0.017950096658417847</v>
      </c>
      <c r="BF27" s="103">
        <f t="shared" si="36"/>
        <v>0.04324435441103212</v>
      </c>
      <c r="BG27" s="103">
        <f t="shared" si="49"/>
        <v>0.04324435441103212</v>
      </c>
      <c r="BH27" s="104">
        <f t="shared" si="55"/>
        <v>22</v>
      </c>
      <c r="BI27" s="105">
        <f t="shared" si="37"/>
        <v>0.04324435441103212</v>
      </c>
      <c r="BJ27" s="94">
        <v>2</v>
      </c>
      <c r="BK27" s="60">
        <f t="shared" si="56"/>
        <v>0.04324435441103212</v>
      </c>
      <c r="BL27" s="106">
        <f t="shared" si="50"/>
        <v>0.08648870882206423</v>
      </c>
      <c r="BM27" s="15"/>
      <c r="BN27" s="15"/>
      <c r="BO27" s="113">
        <f t="shared" si="57"/>
        <v>0.24000000000000007</v>
      </c>
      <c r="BP27" s="107">
        <f t="shared" si="58"/>
        <v>25.038</v>
      </c>
      <c r="BQ27" s="108">
        <f t="shared" si="59"/>
        <v>31.298000000000002</v>
      </c>
      <c r="BR27" s="109">
        <f t="shared" si="60"/>
        <v>30.864000000000004</v>
      </c>
      <c r="BS27" s="60"/>
      <c r="BT27" s="60"/>
      <c r="BU27" s="60"/>
      <c r="BV27" s="60"/>
      <c r="BW27" s="114">
        <f>(50.06-40.43)/10</f>
        <v>0.9630000000000003</v>
      </c>
      <c r="BX27" s="114">
        <f>(63.83-51.08)/10</f>
        <v>1.275</v>
      </c>
      <c r="BY27" s="114">
        <f>(61.97-50)/10</f>
        <v>1.1969999999999998</v>
      </c>
      <c r="BZ27" s="88"/>
      <c r="CA27" s="15"/>
      <c r="CB27" s="72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</row>
    <row r="28" spans="1:208" ht="12.75">
      <c r="A28" s="129"/>
      <c r="B28" s="129" t="s">
        <v>67</v>
      </c>
      <c r="C28" s="129">
        <f>C20*(Lpp/2)^2+C21*Lpp/2+C22</f>
        <v>-6.05</v>
      </c>
      <c r="D28" s="129"/>
      <c r="E28" s="129">
        <f>C31-C32</f>
        <v>80</v>
      </c>
      <c r="F28" s="129">
        <f t="shared" si="52"/>
        <v>23</v>
      </c>
      <c r="G28" s="129">
        <f t="shared" si="38"/>
        <v>0.391</v>
      </c>
      <c r="H28" s="133">
        <v>1</v>
      </c>
      <c r="I28" s="129">
        <f t="shared" si="0"/>
        <v>-12</v>
      </c>
      <c r="J28" s="129">
        <f t="shared" si="1"/>
        <v>35.370881</v>
      </c>
      <c r="K28" s="129">
        <f t="shared" si="39"/>
        <v>1.5863404426541017</v>
      </c>
      <c r="L28" s="129">
        <f t="shared" si="2"/>
        <v>6.793170221327051</v>
      </c>
      <c r="M28" s="129">
        <f t="shared" si="40"/>
        <v>0.391</v>
      </c>
      <c r="N28" s="129">
        <f t="shared" si="3"/>
        <v>0.9159971104373447</v>
      </c>
      <c r="O28" s="129">
        <f t="shared" si="4"/>
        <v>0.21647822282458595</v>
      </c>
      <c r="P28" s="129">
        <f t="shared" si="5"/>
        <v>2.346</v>
      </c>
      <c r="Q28" s="129">
        <f t="shared" si="6"/>
        <v>0</v>
      </c>
      <c r="R28" s="15">
        <f t="shared" si="7"/>
        <v>0</v>
      </c>
      <c r="S28" s="110">
        <f t="shared" si="41"/>
        <v>2.562478222824586</v>
      </c>
      <c r="T28" s="111">
        <f t="shared" si="53"/>
        <v>0.391</v>
      </c>
      <c r="U28" s="112">
        <f t="shared" si="42"/>
        <v>2.562478222824586</v>
      </c>
      <c r="V28" s="15"/>
      <c r="W28" s="88">
        <f t="shared" si="43"/>
        <v>4.416000000000001</v>
      </c>
      <c r="X28" s="88">
        <f t="shared" si="44"/>
        <v>84.416</v>
      </c>
      <c r="Y28" s="56">
        <f t="shared" si="45"/>
        <v>0.022888903027154406</v>
      </c>
      <c r="Z28" s="56">
        <f t="shared" si="8"/>
        <v>0.022888903027154406</v>
      </c>
      <c r="AA28" s="15">
        <f t="shared" si="9"/>
        <v>1.0000510204081632</v>
      </c>
      <c r="AB28" s="15">
        <f t="shared" si="10"/>
        <v>-11.986041270043245</v>
      </c>
      <c r="AC28" s="15">
        <f t="shared" si="11"/>
        <v>35.954746095827474</v>
      </c>
      <c r="AD28" s="15">
        <f t="shared" si="46"/>
        <v>0</v>
      </c>
      <c r="AE28" s="15">
        <f t="shared" si="47"/>
        <v>5.992714884262222</v>
      </c>
      <c r="AF28" s="15">
        <f t="shared" si="48"/>
        <v>-0.019916203289004168</v>
      </c>
      <c r="AG28" s="15">
        <f t="shared" si="12"/>
        <v>1.5707963267948966</v>
      </c>
      <c r="AH28" s="56">
        <f t="shared" si="13"/>
        <v>-0.0199682398299883</v>
      </c>
      <c r="AI28" s="15">
        <f t="shared" si="14"/>
        <v>0.7853981633974483</v>
      </c>
      <c r="AJ28" s="15">
        <f t="shared" si="15"/>
        <v>0</v>
      </c>
      <c r="AK28" s="57">
        <f t="shared" si="16"/>
        <v>0</v>
      </c>
      <c r="AL28" s="57">
        <f t="shared" si="17"/>
        <v>0</v>
      </c>
      <c r="AM28" s="58">
        <f t="shared" si="18"/>
        <v>-234.7955535761992</v>
      </c>
      <c r="AN28" s="59">
        <f t="shared" si="19"/>
        <v>0</v>
      </c>
      <c r="AO28" s="60">
        <f t="shared" si="20"/>
        <v>-240.7955535761992</v>
      </c>
      <c r="AP28" s="59">
        <f t="shared" si="21"/>
        <v>0</v>
      </c>
      <c r="AQ28" s="59">
        <f t="shared" si="22"/>
        <v>0</v>
      </c>
      <c r="AR28" s="61">
        <f t="shared" si="23"/>
        <v>0.0366731317250536</v>
      </c>
      <c r="AS28" s="59">
        <f t="shared" si="24"/>
        <v>0</v>
      </c>
      <c r="AT28" s="60">
        <f t="shared" si="25"/>
        <v>-234.7955535761992</v>
      </c>
      <c r="AU28" s="59">
        <f t="shared" si="54"/>
        <v>0</v>
      </c>
      <c r="AV28" s="60">
        <f t="shared" si="26"/>
        <v>-234.7955535761992</v>
      </c>
      <c r="AW28" s="59">
        <f t="shared" si="27"/>
        <v>0</v>
      </c>
      <c r="AX28" s="59">
        <f t="shared" si="28"/>
        <v>0</v>
      </c>
      <c r="AY28" s="59">
        <f t="shared" si="29"/>
        <v>0</v>
      </c>
      <c r="AZ28" s="59">
        <f t="shared" si="30"/>
        <v>0</v>
      </c>
      <c r="BA28" s="59">
        <f t="shared" si="31"/>
        <v>0</v>
      </c>
      <c r="BB28" s="60" t="b">
        <f t="shared" si="32"/>
        <v>0</v>
      </c>
      <c r="BC28" s="60" t="b">
        <f t="shared" si="33"/>
        <v>0</v>
      </c>
      <c r="BD28" s="15" t="b">
        <f t="shared" si="34"/>
        <v>0</v>
      </c>
      <c r="BE28" s="15">
        <f t="shared" si="35"/>
        <v>-0.019916203289004168</v>
      </c>
      <c r="BF28" s="103">
        <f t="shared" si="36"/>
        <v>0.0366731317250536</v>
      </c>
      <c r="BG28" s="103">
        <f t="shared" si="49"/>
        <v>0.0366731317250536</v>
      </c>
      <c r="BH28" s="104">
        <f t="shared" si="55"/>
        <v>23</v>
      </c>
      <c r="BI28" s="105">
        <f t="shared" si="37"/>
        <v>0.0366731317250536</v>
      </c>
      <c r="BJ28" s="94">
        <v>4</v>
      </c>
      <c r="BK28" s="60">
        <f t="shared" si="56"/>
        <v>0.0366731317250536</v>
      </c>
      <c r="BL28" s="106">
        <f t="shared" si="50"/>
        <v>0.1466925269002144</v>
      </c>
      <c r="BM28" s="15"/>
      <c r="BN28" s="15"/>
      <c r="BO28" s="113">
        <f t="shared" si="57"/>
        <v>0.25000000000000006</v>
      </c>
      <c r="BP28" s="107">
        <f t="shared" si="58"/>
        <v>26</v>
      </c>
      <c r="BQ28" s="108">
        <f t="shared" si="59"/>
        <v>32.505</v>
      </c>
      <c r="BR28" s="109">
        <f t="shared" si="60"/>
        <v>32.06</v>
      </c>
      <c r="BS28" s="60"/>
      <c r="BT28" s="60"/>
      <c r="BU28" s="60"/>
      <c r="BV28" s="60"/>
      <c r="BW28" s="59"/>
      <c r="BX28" s="88"/>
      <c r="BY28" s="88"/>
      <c r="BZ28" s="88"/>
      <c r="CA28" s="15"/>
      <c r="CB28" s="72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</row>
    <row r="29" spans="1:208" ht="12.75">
      <c r="A29" s="129"/>
      <c r="B29" s="129" t="s">
        <v>68</v>
      </c>
      <c r="C29" s="129">
        <f>C20*Lpp^2+C21*Lpp+C22</f>
        <v>-5.5</v>
      </c>
      <c r="D29" s="129"/>
      <c r="E29" s="129">
        <f>E28/2+C32-55</f>
        <v>-15</v>
      </c>
      <c r="F29" s="129">
        <f t="shared" si="52"/>
        <v>24</v>
      </c>
      <c r="G29" s="129">
        <f t="shared" si="38"/>
        <v>0.408</v>
      </c>
      <c r="H29" s="133">
        <v>1</v>
      </c>
      <c r="I29" s="129">
        <f t="shared" si="0"/>
        <v>-12</v>
      </c>
      <c r="J29" s="129">
        <f t="shared" si="1"/>
        <v>35.350463999999995</v>
      </c>
      <c r="K29" s="129">
        <f t="shared" si="39"/>
        <v>1.6118759257461535</v>
      </c>
      <c r="L29" s="129">
        <f t="shared" si="2"/>
        <v>6.8059379628730765</v>
      </c>
      <c r="M29" s="129">
        <f t="shared" si="40"/>
        <v>0.408</v>
      </c>
      <c r="N29" s="129">
        <f t="shared" si="3"/>
        <v>0.93725816054529</v>
      </c>
      <c r="O29" s="129">
        <f t="shared" si="4"/>
        <v>0.23007144326221515</v>
      </c>
      <c r="P29" s="129">
        <f t="shared" si="5"/>
        <v>2.448</v>
      </c>
      <c r="Q29" s="129">
        <f t="shared" si="6"/>
        <v>0</v>
      </c>
      <c r="R29" s="15">
        <f t="shared" si="7"/>
        <v>0</v>
      </c>
      <c r="S29" s="110">
        <f t="shared" si="41"/>
        <v>2.678071443262215</v>
      </c>
      <c r="T29" s="111">
        <f t="shared" si="53"/>
        <v>0.408</v>
      </c>
      <c r="U29" s="112">
        <f t="shared" si="42"/>
        <v>2.678071443262215</v>
      </c>
      <c r="V29" s="15"/>
      <c r="W29" s="88">
        <f t="shared" si="43"/>
        <v>4.608000000000001</v>
      </c>
      <c r="X29" s="88">
        <f t="shared" si="44"/>
        <v>84.608</v>
      </c>
      <c r="Y29" s="56">
        <f t="shared" si="45"/>
        <v>0.020917821506493794</v>
      </c>
      <c r="Z29" s="56">
        <f t="shared" si="8"/>
        <v>0.020917821506493794</v>
      </c>
      <c r="AA29" s="15">
        <f t="shared" si="9"/>
        <v>1.0000510204081632</v>
      </c>
      <c r="AB29" s="15">
        <f t="shared" si="10"/>
        <v>-11.986013111735808</v>
      </c>
      <c r="AC29" s="15">
        <f t="shared" si="11"/>
        <v>35.95860191224359</v>
      </c>
      <c r="AD29" s="15">
        <f t="shared" si="46"/>
        <v>0</v>
      </c>
      <c r="AE29" s="15">
        <f t="shared" si="47"/>
        <v>5.992700805826791</v>
      </c>
      <c r="AF29" s="15">
        <f t="shared" si="48"/>
        <v>-0.021887184249411704</v>
      </c>
      <c r="AG29" s="15">
        <f t="shared" si="12"/>
        <v>1.5707963267948966</v>
      </c>
      <c r="AH29" s="56">
        <f t="shared" si="13"/>
        <v>-0.02193932135064891</v>
      </c>
      <c r="AI29" s="15">
        <f t="shared" si="14"/>
        <v>0.7853981633974483</v>
      </c>
      <c r="AJ29" s="15">
        <f t="shared" si="15"/>
        <v>0</v>
      </c>
      <c r="AK29" s="57">
        <f t="shared" si="16"/>
        <v>0</v>
      </c>
      <c r="AL29" s="57">
        <f t="shared" si="17"/>
        <v>0</v>
      </c>
      <c r="AM29" s="58">
        <f t="shared" si="18"/>
        <v>-235.0715049890917</v>
      </c>
      <c r="AN29" s="59">
        <f t="shared" si="19"/>
        <v>0</v>
      </c>
      <c r="AO29" s="60">
        <f t="shared" si="20"/>
        <v>-241.0715049890917</v>
      </c>
      <c r="AP29" s="59">
        <f t="shared" si="21"/>
        <v>0</v>
      </c>
      <c r="AQ29" s="59">
        <f t="shared" si="22"/>
        <v>0</v>
      </c>
      <c r="AR29" s="61">
        <f t="shared" si="23"/>
        <v>0.03062886796042751</v>
      </c>
      <c r="AS29" s="59">
        <f t="shared" si="24"/>
        <v>0</v>
      </c>
      <c r="AT29" s="60">
        <f t="shared" si="25"/>
        <v>-235.0715049890917</v>
      </c>
      <c r="AU29" s="59">
        <f t="shared" si="54"/>
        <v>0</v>
      </c>
      <c r="AV29" s="60">
        <f t="shared" si="26"/>
        <v>-235.0715049890917</v>
      </c>
      <c r="AW29" s="59">
        <f t="shared" si="27"/>
        <v>0</v>
      </c>
      <c r="AX29" s="59">
        <f t="shared" si="28"/>
        <v>0</v>
      </c>
      <c r="AY29" s="59">
        <f t="shared" si="29"/>
        <v>0</v>
      </c>
      <c r="AZ29" s="59">
        <f t="shared" si="30"/>
        <v>0</v>
      </c>
      <c r="BA29" s="59">
        <f t="shared" si="31"/>
        <v>0</v>
      </c>
      <c r="BB29" s="60" t="b">
        <f t="shared" si="32"/>
        <v>0</v>
      </c>
      <c r="BC29" s="60" t="b">
        <f t="shared" si="33"/>
        <v>0</v>
      </c>
      <c r="BD29" s="15" t="b">
        <f t="shared" si="34"/>
        <v>0</v>
      </c>
      <c r="BE29" s="15">
        <f t="shared" si="35"/>
        <v>-0.021887184249411704</v>
      </c>
      <c r="BF29" s="103">
        <f t="shared" si="36"/>
        <v>0.03062886796042751</v>
      </c>
      <c r="BG29" s="103">
        <f t="shared" si="49"/>
        <v>0.03062886796042751</v>
      </c>
      <c r="BH29" s="104">
        <f t="shared" si="55"/>
        <v>24</v>
      </c>
      <c r="BI29" s="105">
        <f t="shared" si="37"/>
        <v>0.03062886796042751</v>
      </c>
      <c r="BJ29" s="94">
        <v>2</v>
      </c>
      <c r="BK29" s="60">
        <f t="shared" si="56"/>
        <v>0.03062886796042751</v>
      </c>
      <c r="BL29" s="106">
        <f t="shared" si="50"/>
        <v>0.06125773592085502</v>
      </c>
      <c r="BM29" s="15"/>
      <c r="BN29" s="15"/>
      <c r="BO29" s="113">
        <f t="shared" si="57"/>
        <v>0.26000000000000006</v>
      </c>
      <c r="BP29" s="107">
        <f t="shared" si="58"/>
        <v>26.962</v>
      </c>
      <c r="BQ29" s="108">
        <f t="shared" si="59"/>
        <v>33.712</v>
      </c>
      <c r="BR29" s="109">
        <f t="shared" si="60"/>
        <v>33.256</v>
      </c>
      <c r="BS29" s="60"/>
      <c r="BT29" s="60"/>
      <c r="BU29" s="60"/>
      <c r="BV29" s="60"/>
      <c r="BW29" s="59"/>
      <c r="BX29" s="88"/>
      <c r="BY29" s="88"/>
      <c r="BZ29" s="88"/>
      <c r="CA29" s="15"/>
      <c r="CB29" s="72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</row>
    <row r="30" spans="1:208" ht="12.75">
      <c r="A30" s="129"/>
      <c r="B30" s="129"/>
      <c r="C30" s="138">
        <f>Lpp</f>
        <v>110</v>
      </c>
      <c r="D30" s="129"/>
      <c r="E30" s="129"/>
      <c r="F30" s="129">
        <f t="shared" si="52"/>
        <v>25</v>
      </c>
      <c r="G30" s="129">
        <f t="shared" si="38"/>
        <v>0.425</v>
      </c>
      <c r="H30" s="133">
        <v>1</v>
      </c>
      <c r="I30" s="129">
        <f t="shared" si="0"/>
        <v>-12</v>
      </c>
      <c r="J30" s="129">
        <f t="shared" si="1"/>
        <v>35.330625</v>
      </c>
      <c r="K30" s="129">
        <f t="shared" si="39"/>
        <v>1.6363068171953599</v>
      </c>
      <c r="L30" s="129">
        <f t="shared" si="2"/>
        <v>6.81815340859768</v>
      </c>
      <c r="M30" s="129">
        <f t="shared" si="40"/>
        <v>0.425</v>
      </c>
      <c r="N30" s="129">
        <f t="shared" si="3"/>
        <v>0.9581921787462742</v>
      </c>
      <c r="O30" s="129">
        <f t="shared" si="4"/>
        <v>0.24387698440130454</v>
      </c>
      <c r="P30" s="129">
        <f t="shared" si="5"/>
        <v>2.55</v>
      </c>
      <c r="Q30" s="129">
        <f t="shared" si="6"/>
        <v>0</v>
      </c>
      <c r="R30" s="15">
        <f t="shared" si="7"/>
        <v>0</v>
      </c>
      <c r="S30" s="110">
        <f t="shared" si="41"/>
        <v>2.7938769844013045</v>
      </c>
      <c r="T30" s="111">
        <f t="shared" si="53"/>
        <v>0.425</v>
      </c>
      <c r="U30" s="112">
        <f t="shared" si="42"/>
        <v>2.7938769844013045</v>
      </c>
      <c r="V30" s="15"/>
      <c r="W30" s="88">
        <f t="shared" si="43"/>
        <v>4.800000000000002</v>
      </c>
      <c r="X30" s="88">
        <f t="shared" si="44"/>
        <v>84.8</v>
      </c>
      <c r="Y30" s="56">
        <f t="shared" si="45"/>
        <v>0.018941865407319902</v>
      </c>
      <c r="Z30" s="56">
        <f t="shared" si="8"/>
        <v>0.018941865407319902</v>
      </c>
      <c r="AA30" s="15">
        <f t="shared" si="9"/>
        <v>1.0000510204081632</v>
      </c>
      <c r="AB30" s="15">
        <f t="shared" si="10"/>
        <v>-11.985984883791533</v>
      </c>
      <c r="AC30" s="15">
        <f t="shared" si="11"/>
        <v>35.96247506345047</v>
      </c>
      <c r="AD30" s="15">
        <f t="shared" si="46"/>
        <v>0</v>
      </c>
      <c r="AE30" s="15">
        <f t="shared" si="47"/>
        <v>5.992686692574717</v>
      </c>
      <c r="AF30" s="15">
        <f t="shared" si="48"/>
        <v>-0.02386303953964221</v>
      </c>
      <c r="AG30" s="15">
        <f t="shared" si="12"/>
        <v>1.5707963267948966</v>
      </c>
      <c r="AH30" s="56">
        <f t="shared" si="13"/>
        <v>-0.023915277449822803</v>
      </c>
      <c r="AI30" s="15">
        <f t="shared" si="14"/>
        <v>0.7853981633974483</v>
      </c>
      <c r="AJ30" s="15">
        <f t="shared" si="15"/>
        <v>0</v>
      </c>
      <c r="AK30" s="57">
        <f t="shared" si="16"/>
        <v>0</v>
      </c>
      <c r="AL30" s="57">
        <f t="shared" si="17"/>
        <v>0</v>
      </c>
      <c r="AM30" s="58">
        <f t="shared" si="18"/>
        <v>-235.34813884297606</v>
      </c>
      <c r="AN30" s="59">
        <f t="shared" si="19"/>
        <v>0</v>
      </c>
      <c r="AO30" s="60">
        <f t="shared" si="20"/>
        <v>-241.34813884297606</v>
      </c>
      <c r="AP30" s="59">
        <f t="shared" si="21"/>
        <v>0</v>
      </c>
      <c r="AQ30" s="59">
        <f t="shared" si="22"/>
        <v>0</v>
      </c>
      <c r="AR30" s="61">
        <f t="shared" si="23"/>
        <v>0.025115598557631656</v>
      </c>
      <c r="AS30" s="59">
        <f t="shared" si="24"/>
        <v>0</v>
      </c>
      <c r="AT30" s="60">
        <f t="shared" si="25"/>
        <v>-235.34813884297606</v>
      </c>
      <c r="AU30" s="59">
        <f t="shared" si="54"/>
        <v>0</v>
      </c>
      <c r="AV30" s="60">
        <f t="shared" si="26"/>
        <v>-235.34813884297606</v>
      </c>
      <c r="AW30" s="59">
        <f t="shared" si="27"/>
        <v>0</v>
      </c>
      <c r="AX30" s="59">
        <f t="shared" si="28"/>
        <v>0</v>
      </c>
      <c r="AY30" s="59">
        <f t="shared" si="29"/>
        <v>0</v>
      </c>
      <c r="AZ30" s="59">
        <f t="shared" si="30"/>
        <v>0</v>
      </c>
      <c r="BA30" s="59">
        <f t="shared" si="31"/>
        <v>0</v>
      </c>
      <c r="BB30" s="60" t="b">
        <f t="shared" si="32"/>
        <v>0</v>
      </c>
      <c r="BC30" s="60" t="b">
        <f t="shared" si="33"/>
        <v>0</v>
      </c>
      <c r="BD30" s="15" t="b">
        <f t="shared" si="34"/>
        <v>0</v>
      </c>
      <c r="BE30" s="15">
        <f t="shared" si="35"/>
        <v>-0.02386303953964221</v>
      </c>
      <c r="BF30" s="103">
        <f t="shared" si="36"/>
        <v>0.025115598557631656</v>
      </c>
      <c r="BG30" s="103">
        <f t="shared" si="49"/>
        <v>0.025115598557631656</v>
      </c>
      <c r="BH30" s="104">
        <f t="shared" si="55"/>
        <v>25</v>
      </c>
      <c r="BI30" s="105">
        <f t="shared" si="37"/>
        <v>0.025115598557631656</v>
      </c>
      <c r="BJ30" s="94">
        <v>4</v>
      </c>
      <c r="BK30" s="60">
        <f t="shared" si="56"/>
        <v>0.025115598557631656</v>
      </c>
      <c r="BL30" s="106">
        <f t="shared" si="50"/>
        <v>0.10046239423052662</v>
      </c>
      <c r="BM30" s="15"/>
      <c r="BN30" s="15"/>
      <c r="BO30" s="113">
        <f t="shared" si="57"/>
        <v>0.2700000000000001</v>
      </c>
      <c r="BP30" s="107">
        <f t="shared" si="58"/>
        <v>27.924</v>
      </c>
      <c r="BQ30" s="108">
        <f t="shared" si="59"/>
        <v>34.919000000000004</v>
      </c>
      <c r="BR30" s="109">
        <f t="shared" si="60"/>
        <v>34.452</v>
      </c>
      <c r="BS30" s="60"/>
      <c r="BT30" s="60"/>
      <c r="BU30" s="60"/>
      <c r="BV30" s="60"/>
      <c r="BW30" s="59"/>
      <c r="BX30" s="88"/>
      <c r="BY30" s="88"/>
      <c r="BZ30" s="88"/>
      <c r="CA30" s="15"/>
      <c r="CB30" s="72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</row>
    <row r="31" spans="1:208" ht="12.75">
      <c r="A31" s="129"/>
      <c r="B31" s="129" t="s">
        <v>77</v>
      </c>
      <c r="C31" s="138">
        <f>'Data and result'!C25</f>
        <v>80</v>
      </c>
      <c r="D31" s="138">
        <f>'Data and result'!C25+lz</f>
        <v>99.2</v>
      </c>
      <c r="E31" s="129"/>
      <c r="F31" s="129">
        <f t="shared" si="52"/>
        <v>26</v>
      </c>
      <c r="G31" s="129">
        <f t="shared" si="38"/>
        <v>0.44199999999999995</v>
      </c>
      <c r="H31" s="133">
        <v>1</v>
      </c>
      <c r="I31" s="129">
        <f t="shared" si="0"/>
        <v>-12</v>
      </c>
      <c r="J31" s="129">
        <f t="shared" si="1"/>
        <v>35.311364</v>
      </c>
      <c r="K31" s="129">
        <f t="shared" si="39"/>
        <v>1.6596818972321201</v>
      </c>
      <c r="L31" s="129">
        <f t="shared" si="2"/>
        <v>6.82984094861606</v>
      </c>
      <c r="M31" s="129">
        <f t="shared" si="40"/>
        <v>0.44199999999999995</v>
      </c>
      <c r="N31" s="129">
        <f t="shared" si="3"/>
        <v>0.9788225856024484</v>
      </c>
      <c r="O31" s="129">
        <f t="shared" si="4"/>
        <v>0.2578856681373439</v>
      </c>
      <c r="P31" s="129">
        <f t="shared" si="5"/>
        <v>2.6519999999999997</v>
      </c>
      <c r="Q31" s="129">
        <f t="shared" si="6"/>
        <v>0</v>
      </c>
      <c r="R31" s="15">
        <f t="shared" si="7"/>
        <v>0</v>
      </c>
      <c r="S31" s="110">
        <f t="shared" si="41"/>
        <v>2.9098856681373437</v>
      </c>
      <c r="T31" s="111">
        <f t="shared" si="53"/>
        <v>0.442</v>
      </c>
      <c r="U31" s="112">
        <f t="shared" si="42"/>
        <v>2.9098856681373437</v>
      </c>
      <c r="V31" s="15"/>
      <c r="W31" s="88">
        <f t="shared" si="43"/>
        <v>4.992000000000002</v>
      </c>
      <c r="X31" s="88">
        <f t="shared" si="44"/>
        <v>84.992</v>
      </c>
      <c r="Y31" s="56">
        <f t="shared" si="45"/>
        <v>0.016961034729633617</v>
      </c>
      <c r="Z31" s="56">
        <f t="shared" si="8"/>
        <v>0.016961034729633617</v>
      </c>
      <c r="AA31" s="15">
        <f t="shared" si="9"/>
        <v>1.0000510204081632</v>
      </c>
      <c r="AB31" s="15">
        <f t="shared" si="10"/>
        <v>-11.985956586210424</v>
      </c>
      <c r="AC31" s="15">
        <f t="shared" si="11"/>
        <v>35.96636560723984</v>
      </c>
      <c r="AD31" s="15">
        <f t="shared" si="46"/>
        <v>0</v>
      </c>
      <c r="AE31" s="15">
        <f t="shared" si="47"/>
        <v>5.992672544506003</v>
      </c>
      <c r="AF31" s="15">
        <f t="shared" si="48"/>
        <v>-0.025843769159694822</v>
      </c>
      <c r="AG31" s="15">
        <f t="shared" si="12"/>
        <v>1.5707963267948966</v>
      </c>
      <c r="AH31" s="56">
        <f t="shared" si="13"/>
        <v>-0.025896108127509088</v>
      </c>
      <c r="AI31" s="15">
        <f t="shared" si="14"/>
        <v>0.7853981633974483</v>
      </c>
      <c r="AJ31" s="15">
        <f t="shared" si="15"/>
        <v>0</v>
      </c>
      <c r="AK31" s="57">
        <f t="shared" si="16"/>
        <v>0</v>
      </c>
      <c r="AL31" s="57">
        <f t="shared" si="17"/>
        <v>0</v>
      </c>
      <c r="AM31" s="58">
        <f t="shared" si="18"/>
        <v>-235.62545513785213</v>
      </c>
      <c r="AN31" s="59">
        <f t="shared" si="19"/>
        <v>0</v>
      </c>
      <c r="AO31" s="60">
        <f t="shared" si="20"/>
        <v>-241.62545513785213</v>
      </c>
      <c r="AP31" s="59">
        <f t="shared" si="21"/>
        <v>0</v>
      </c>
      <c r="AQ31" s="59">
        <f t="shared" si="22"/>
        <v>0</v>
      </c>
      <c r="AR31" s="61">
        <f t="shared" si="23"/>
        <v>0.02013736893698871</v>
      </c>
      <c r="AS31" s="59">
        <f t="shared" si="24"/>
        <v>0</v>
      </c>
      <c r="AT31" s="60">
        <f t="shared" si="25"/>
        <v>-235.62545513785213</v>
      </c>
      <c r="AU31" s="59">
        <f t="shared" si="54"/>
        <v>0</v>
      </c>
      <c r="AV31" s="60">
        <f t="shared" si="26"/>
        <v>-235.62545513785213</v>
      </c>
      <c r="AW31" s="59">
        <f t="shared" si="27"/>
        <v>0</v>
      </c>
      <c r="AX31" s="59">
        <f t="shared" si="28"/>
        <v>0</v>
      </c>
      <c r="AY31" s="59">
        <f t="shared" si="29"/>
        <v>0</v>
      </c>
      <c r="AZ31" s="59">
        <f t="shared" si="30"/>
        <v>0</v>
      </c>
      <c r="BA31" s="59">
        <f t="shared" si="31"/>
        <v>0</v>
      </c>
      <c r="BB31" s="60" t="b">
        <f t="shared" si="32"/>
        <v>0</v>
      </c>
      <c r="BC31" s="60" t="b">
        <f t="shared" si="33"/>
        <v>0</v>
      </c>
      <c r="BD31" s="15" t="b">
        <f t="shared" si="34"/>
        <v>0</v>
      </c>
      <c r="BE31" s="15">
        <f t="shared" si="35"/>
        <v>-0.025843769159694822</v>
      </c>
      <c r="BF31" s="103">
        <f t="shared" si="36"/>
        <v>0.02013736893698871</v>
      </c>
      <c r="BG31" s="103">
        <f t="shared" si="49"/>
        <v>0.02013736893698871</v>
      </c>
      <c r="BH31" s="104">
        <f t="shared" si="55"/>
        <v>26</v>
      </c>
      <c r="BI31" s="105">
        <f t="shared" si="37"/>
        <v>0.02013736893698871</v>
      </c>
      <c r="BJ31" s="94">
        <v>2</v>
      </c>
      <c r="BK31" s="60">
        <f t="shared" si="56"/>
        <v>0.02013736893698871</v>
      </c>
      <c r="BL31" s="106">
        <f t="shared" si="50"/>
        <v>0.04027473787397742</v>
      </c>
      <c r="BM31" s="59"/>
      <c r="BN31" s="59"/>
      <c r="BO31" s="113">
        <f t="shared" si="57"/>
        <v>0.2800000000000001</v>
      </c>
      <c r="BP31" s="107">
        <f t="shared" si="58"/>
        <v>28.886</v>
      </c>
      <c r="BQ31" s="108">
        <f t="shared" si="59"/>
        <v>36.126000000000005</v>
      </c>
      <c r="BR31" s="109">
        <f t="shared" si="60"/>
        <v>35.647999999999996</v>
      </c>
      <c r="BS31" s="60"/>
      <c r="BT31" s="60"/>
      <c r="BU31" s="60"/>
      <c r="BV31" s="60"/>
      <c r="BW31" s="59"/>
      <c r="BX31" s="88"/>
      <c r="BY31" s="88"/>
      <c r="BZ31" s="88"/>
      <c r="CA31" s="15"/>
      <c r="CB31" s="72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</row>
    <row r="32" spans="1:208" ht="12.75">
      <c r="A32" s="129"/>
      <c r="B32" s="129"/>
      <c r="C32" s="138"/>
      <c r="D32" s="138">
        <f>'Data and result'!C25+lr</f>
        <v>81</v>
      </c>
      <c r="E32" s="129"/>
      <c r="F32" s="129">
        <f t="shared" si="52"/>
        <v>27</v>
      </c>
      <c r="G32" s="129">
        <f t="shared" si="38"/>
        <v>0.45899999999999996</v>
      </c>
      <c r="H32" s="133">
        <v>1</v>
      </c>
      <c r="I32" s="129">
        <f t="shared" si="0"/>
        <v>-12</v>
      </c>
      <c r="J32" s="129">
        <f t="shared" si="1"/>
        <v>35.292681</v>
      </c>
      <c r="K32" s="129">
        <f>IF((I32^2-4*H32*J32)&gt;=0,(I32^2-4*H32*J32)^0.5,0)</f>
        <v>1.6820451836975108</v>
      </c>
      <c r="L32" s="129">
        <f t="shared" si="2"/>
        <v>6.8410225918487555</v>
      </c>
      <c r="M32" s="129">
        <f t="shared" si="40"/>
        <v>0.45899999999999996</v>
      </c>
      <c r="N32" s="129">
        <f t="shared" si="3"/>
        <v>0.9991706427869337</v>
      </c>
      <c r="O32" s="129">
        <f t="shared" si="4"/>
        <v>0.2720887102983783</v>
      </c>
      <c r="P32" s="129">
        <f t="shared" si="5"/>
        <v>2.7539999999999996</v>
      </c>
      <c r="Q32" s="129">
        <f t="shared" si="6"/>
        <v>0</v>
      </c>
      <c r="R32" s="15">
        <f t="shared" si="7"/>
        <v>0</v>
      </c>
      <c r="S32" s="110">
        <f t="shared" si="41"/>
        <v>3.026088710298378</v>
      </c>
      <c r="T32" s="111">
        <f t="shared" si="53"/>
        <v>0.459</v>
      </c>
      <c r="U32" s="112">
        <f t="shared" si="42"/>
        <v>3.026088710298378</v>
      </c>
      <c r="V32" s="15"/>
      <c r="W32" s="88">
        <f t="shared" si="43"/>
        <v>5.184000000000002</v>
      </c>
      <c r="X32" s="88">
        <f t="shared" si="44"/>
        <v>85.184</v>
      </c>
      <c r="Y32" s="56">
        <f t="shared" si="45"/>
        <v>0.014975329473435828</v>
      </c>
      <c r="Z32" s="56">
        <f t="shared" si="8"/>
        <v>0.014975329473435828</v>
      </c>
      <c r="AA32" s="15">
        <f t="shared" si="9"/>
        <v>1.0000510204081632</v>
      </c>
      <c r="AB32" s="15">
        <f t="shared" si="10"/>
        <v>-11.985928218992477</v>
      </c>
      <c r="AC32" s="15">
        <f t="shared" si="11"/>
        <v>35.97027360154596</v>
      </c>
      <c r="AD32" s="15">
        <f t="shared" si="46"/>
        <v>0</v>
      </c>
      <c r="AE32" s="15">
        <f t="shared" si="47"/>
        <v>5.992658361620646</v>
      </c>
      <c r="AF32" s="15">
        <f t="shared" si="48"/>
        <v>-0.027829373109568636</v>
      </c>
      <c r="AG32" s="15">
        <f t="shared" si="12"/>
        <v>1.5707963267948966</v>
      </c>
      <c r="AH32" s="56">
        <f t="shared" si="13"/>
        <v>-0.027881813383706877</v>
      </c>
      <c r="AI32" s="15">
        <f t="shared" si="14"/>
        <v>0.7853981633974483</v>
      </c>
      <c r="AJ32" s="15">
        <f t="shared" si="15"/>
        <v>0</v>
      </c>
      <c r="AK32" s="57">
        <f t="shared" si="16"/>
        <v>0</v>
      </c>
      <c r="AL32" s="57">
        <f t="shared" si="17"/>
        <v>0</v>
      </c>
      <c r="AM32" s="58">
        <f t="shared" si="18"/>
        <v>-235.90345387371983</v>
      </c>
      <c r="AN32" s="59">
        <f t="shared" si="19"/>
        <v>0</v>
      </c>
      <c r="AO32" s="60">
        <f t="shared" si="20"/>
        <v>-241.90345387371983</v>
      </c>
      <c r="AP32" s="59">
        <f t="shared" si="21"/>
        <v>0</v>
      </c>
      <c r="AQ32" s="59">
        <f t="shared" si="22"/>
        <v>0</v>
      </c>
      <c r="AR32" s="61">
        <f t="shared" si="23"/>
        <v>0.01569823449865696</v>
      </c>
      <c r="AS32" s="59">
        <f t="shared" si="24"/>
        <v>0</v>
      </c>
      <c r="AT32" s="60">
        <f t="shared" si="25"/>
        <v>-235.90345387371983</v>
      </c>
      <c r="AU32" s="59">
        <f t="shared" si="54"/>
        <v>0</v>
      </c>
      <c r="AV32" s="60">
        <f t="shared" si="26"/>
        <v>-235.90345387371983</v>
      </c>
      <c r="AW32" s="59">
        <f t="shared" si="27"/>
        <v>0</v>
      </c>
      <c r="AX32" s="59">
        <f t="shared" si="28"/>
        <v>0</v>
      </c>
      <c r="AY32" s="59">
        <f t="shared" si="29"/>
        <v>0</v>
      </c>
      <c r="AZ32" s="59">
        <f t="shared" si="30"/>
        <v>0</v>
      </c>
      <c r="BA32" s="59">
        <f t="shared" si="31"/>
        <v>0</v>
      </c>
      <c r="BB32" s="60" t="b">
        <f t="shared" si="32"/>
        <v>0</v>
      </c>
      <c r="BC32" s="60" t="b">
        <f t="shared" si="33"/>
        <v>0</v>
      </c>
      <c r="BD32" s="15" t="b">
        <f t="shared" si="34"/>
        <v>0</v>
      </c>
      <c r="BE32" s="15">
        <f t="shared" si="35"/>
        <v>-0.027829373109568636</v>
      </c>
      <c r="BF32" s="103">
        <f t="shared" si="36"/>
        <v>0.01569823449865696</v>
      </c>
      <c r="BG32" s="103">
        <f t="shared" si="49"/>
        <v>0.01569823449865696</v>
      </c>
      <c r="BH32" s="104">
        <f t="shared" si="55"/>
        <v>27</v>
      </c>
      <c r="BI32" s="105">
        <f t="shared" si="37"/>
        <v>0.01569823449865696</v>
      </c>
      <c r="BJ32" s="94">
        <v>4</v>
      </c>
      <c r="BK32" s="60">
        <f t="shared" si="56"/>
        <v>0.01569823449865696</v>
      </c>
      <c r="BL32" s="106">
        <f t="shared" si="50"/>
        <v>0.06279293799462785</v>
      </c>
      <c r="BM32" s="59"/>
      <c r="BN32" s="59"/>
      <c r="BO32" s="113">
        <f t="shared" si="57"/>
        <v>0.2900000000000001</v>
      </c>
      <c r="BP32" s="107">
        <f t="shared" si="58"/>
        <v>29.848</v>
      </c>
      <c r="BQ32" s="108">
        <f t="shared" si="59"/>
        <v>37.333000000000006</v>
      </c>
      <c r="BR32" s="109">
        <f t="shared" si="60"/>
        <v>36.843999999999994</v>
      </c>
      <c r="BS32" s="60"/>
      <c r="BT32" s="60"/>
      <c r="BU32" s="60"/>
      <c r="BV32" s="60"/>
      <c r="BW32" s="59"/>
      <c r="BX32" s="88"/>
      <c r="BY32" s="88"/>
      <c r="BZ32" s="88"/>
      <c r="CA32" s="15"/>
      <c r="CB32" s="72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</row>
    <row r="33" spans="1:208" ht="12.75">
      <c r="A33" s="129"/>
      <c r="B33" s="129"/>
      <c r="C33" s="138"/>
      <c r="D33" s="129"/>
      <c r="E33" s="129"/>
      <c r="F33" s="129">
        <f t="shared" si="52"/>
        <v>28</v>
      </c>
      <c r="G33" s="129">
        <f t="shared" si="38"/>
        <v>0.47600000000000003</v>
      </c>
      <c r="H33" s="133">
        <v>1</v>
      </c>
      <c r="I33" s="129">
        <f t="shared" si="0"/>
        <v>-12</v>
      </c>
      <c r="J33" s="129">
        <f t="shared" si="1"/>
        <v>35.274576</v>
      </c>
      <c r="K33" s="129">
        <f t="shared" si="39"/>
        <v>1.7034365265544786</v>
      </c>
      <c r="L33" s="129">
        <f t="shared" si="2"/>
        <v>6.851718263277239</v>
      </c>
      <c r="M33" s="129">
        <f t="shared" si="40"/>
        <v>0.47600000000000003</v>
      </c>
      <c r="N33" s="129">
        <f t="shared" si="3"/>
        <v>1.0192557354883183</v>
      </c>
      <c r="O33" s="129">
        <f t="shared" si="4"/>
        <v>0.286477682765522</v>
      </c>
      <c r="P33" s="129">
        <f t="shared" si="5"/>
        <v>2.8560000000000003</v>
      </c>
      <c r="Q33" s="129">
        <f t="shared" si="6"/>
        <v>0</v>
      </c>
      <c r="R33" s="15">
        <f t="shared" si="7"/>
        <v>0</v>
      </c>
      <c r="S33" s="110">
        <f t="shared" si="41"/>
        <v>3.1424776827655223</v>
      </c>
      <c r="T33" s="111">
        <f t="shared" si="53"/>
        <v>0.476</v>
      </c>
      <c r="U33" s="112">
        <f t="shared" si="42"/>
        <v>3.1424776827655223</v>
      </c>
      <c r="V33" s="15"/>
      <c r="W33" s="88">
        <f t="shared" si="43"/>
        <v>5.376000000000002</v>
      </c>
      <c r="X33" s="88">
        <f t="shared" si="44"/>
        <v>85.376</v>
      </c>
      <c r="Y33" s="56">
        <f t="shared" si="45"/>
        <v>0.012984749638724757</v>
      </c>
      <c r="Z33" s="56">
        <f t="shared" si="8"/>
        <v>0.012984749638724757</v>
      </c>
      <c r="AA33" s="15">
        <f t="shared" si="9"/>
        <v>1.0000510204081632</v>
      </c>
      <c r="AB33" s="15">
        <f t="shared" si="10"/>
        <v>-11.985899782137697</v>
      </c>
      <c r="AC33" s="15">
        <f t="shared" si="11"/>
        <v>35.97419910444573</v>
      </c>
      <c r="AD33" s="15">
        <f t="shared" si="46"/>
        <v>0</v>
      </c>
      <c r="AE33" s="15">
        <f t="shared" si="47"/>
        <v>5.992644143918649</v>
      </c>
      <c r="AF33" s="15">
        <f t="shared" si="48"/>
        <v>-0.02981985138926544</v>
      </c>
      <c r="AG33" s="15">
        <f t="shared" si="12"/>
        <v>1.5707963267948966</v>
      </c>
      <c r="AH33" s="56">
        <f t="shared" si="13"/>
        <v>-0.029872393218417947</v>
      </c>
      <c r="AI33" s="15">
        <f t="shared" si="14"/>
        <v>0.7853981633974483</v>
      </c>
      <c r="AJ33" s="15">
        <f t="shared" si="15"/>
        <v>0</v>
      </c>
      <c r="AK33" s="57">
        <f t="shared" si="16"/>
        <v>0</v>
      </c>
      <c r="AL33" s="57">
        <f t="shared" si="17"/>
        <v>0</v>
      </c>
      <c r="AM33" s="58">
        <f t="shared" si="18"/>
        <v>-236.18213505057938</v>
      </c>
      <c r="AN33" s="59">
        <f t="shared" si="19"/>
        <v>0</v>
      </c>
      <c r="AO33" s="60">
        <f t="shared" si="20"/>
        <v>-242.18213505057938</v>
      </c>
      <c r="AP33" s="59">
        <f t="shared" si="21"/>
        <v>0</v>
      </c>
      <c r="AQ33" s="59">
        <f t="shared" si="22"/>
        <v>0</v>
      </c>
      <c r="AR33" s="61">
        <f t="shared" si="23"/>
        <v>0.01180226062262543</v>
      </c>
      <c r="AS33" s="59">
        <f t="shared" si="24"/>
        <v>0</v>
      </c>
      <c r="AT33" s="60">
        <f t="shared" si="25"/>
        <v>-236.18213505057938</v>
      </c>
      <c r="AU33" s="59">
        <f t="shared" si="54"/>
        <v>0</v>
      </c>
      <c r="AV33" s="60">
        <f t="shared" si="26"/>
        <v>-236.18213505057938</v>
      </c>
      <c r="AW33" s="59">
        <f t="shared" si="27"/>
        <v>0</v>
      </c>
      <c r="AX33" s="59">
        <f t="shared" si="28"/>
        <v>0</v>
      </c>
      <c r="AY33" s="59">
        <f t="shared" si="29"/>
        <v>0</v>
      </c>
      <c r="AZ33" s="59">
        <f t="shared" si="30"/>
        <v>0</v>
      </c>
      <c r="BA33" s="59">
        <f t="shared" si="31"/>
        <v>0</v>
      </c>
      <c r="BB33" s="60" t="b">
        <f t="shared" si="32"/>
        <v>0</v>
      </c>
      <c r="BC33" s="60" t="b">
        <f t="shared" si="33"/>
        <v>0</v>
      </c>
      <c r="BD33" s="15" t="b">
        <f t="shared" si="34"/>
        <v>0</v>
      </c>
      <c r="BE33" s="15">
        <f t="shared" si="35"/>
        <v>-0.02981985138926544</v>
      </c>
      <c r="BF33" s="103">
        <f t="shared" si="36"/>
        <v>0.01180226062262543</v>
      </c>
      <c r="BG33" s="103">
        <f t="shared" si="49"/>
        <v>0.01180226062262543</v>
      </c>
      <c r="BH33" s="104">
        <f t="shared" si="55"/>
        <v>28</v>
      </c>
      <c r="BI33" s="105">
        <f t="shared" si="37"/>
        <v>0.01180226062262543</v>
      </c>
      <c r="BJ33" s="94">
        <v>2</v>
      </c>
      <c r="BK33" s="60">
        <f t="shared" si="56"/>
        <v>0.01180226062262543</v>
      </c>
      <c r="BL33" s="106">
        <f t="shared" si="50"/>
        <v>0.02360452124525086</v>
      </c>
      <c r="BM33" s="59"/>
      <c r="BN33" s="59"/>
      <c r="BO33" s="113">
        <f t="shared" si="57"/>
        <v>0.3000000000000001</v>
      </c>
      <c r="BP33" s="107">
        <f t="shared" si="58"/>
        <v>30.81</v>
      </c>
      <c r="BQ33" s="108">
        <f t="shared" si="59"/>
        <v>38.540000000000006</v>
      </c>
      <c r="BR33" s="109">
        <f t="shared" si="60"/>
        <v>38.03999999999999</v>
      </c>
      <c r="BS33" s="60"/>
      <c r="BT33" s="60"/>
      <c r="BU33" s="60"/>
      <c r="BV33" s="60"/>
      <c r="BW33" s="59"/>
      <c r="BX33" s="88"/>
      <c r="BY33" s="88"/>
      <c r="BZ33" s="88"/>
      <c r="CA33" s="15"/>
      <c r="CB33" s="72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</row>
    <row r="34" spans="1:208" ht="12.75">
      <c r="A34" s="75"/>
      <c r="B34" s="75"/>
      <c r="C34" s="139"/>
      <c r="D34" s="75"/>
      <c r="E34" s="129"/>
      <c r="F34" s="129">
        <f t="shared" si="52"/>
        <v>29</v>
      </c>
      <c r="G34" s="129">
        <f t="shared" si="38"/>
        <v>0.493</v>
      </c>
      <c r="H34" s="133">
        <v>1</v>
      </c>
      <c r="I34" s="129">
        <f t="shared" si="0"/>
        <v>-12</v>
      </c>
      <c r="J34" s="129">
        <f t="shared" si="1"/>
        <v>35.257049</v>
      </c>
      <c r="K34" s="129">
        <f t="shared" si="39"/>
        <v>1.7238921079928382</v>
      </c>
      <c r="L34" s="129">
        <f t="shared" si="2"/>
        <v>6.861946053996419</v>
      </c>
      <c r="M34" s="129">
        <f t="shared" si="40"/>
        <v>0.493</v>
      </c>
      <c r="N34" s="129">
        <f t="shared" si="3"/>
        <v>1.0390956098391868</v>
      </c>
      <c r="O34" s="129">
        <f t="shared" si="4"/>
        <v>0.3010444802315009</v>
      </c>
      <c r="P34" s="129">
        <f t="shared" si="5"/>
        <v>2.958</v>
      </c>
      <c r="Q34" s="129">
        <f t="shared" si="6"/>
        <v>0</v>
      </c>
      <c r="R34" s="15">
        <f t="shared" si="7"/>
        <v>0</v>
      </c>
      <c r="S34" s="110">
        <f t="shared" si="41"/>
        <v>3.259044480231501</v>
      </c>
      <c r="T34" s="111">
        <f t="shared" si="53"/>
        <v>0.493</v>
      </c>
      <c r="U34" s="112">
        <f t="shared" si="42"/>
        <v>3.259044480231501</v>
      </c>
      <c r="V34" s="15"/>
      <c r="W34" s="88">
        <f t="shared" si="43"/>
        <v>5.568000000000002</v>
      </c>
      <c r="X34" s="88">
        <f t="shared" si="44"/>
        <v>85.568</v>
      </c>
      <c r="Y34" s="56">
        <f t="shared" si="45"/>
        <v>0.010989295225501294</v>
      </c>
      <c r="Z34" s="56">
        <f t="shared" si="8"/>
        <v>0.010989295225501294</v>
      </c>
      <c r="AA34" s="15">
        <f t="shared" si="9"/>
        <v>1.0000510204081632</v>
      </c>
      <c r="AB34" s="15">
        <f t="shared" si="10"/>
        <v>-11.985871275646078</v>
      </c>
      <c r="AC34" s="15">
        <f t="shared" si="11"/>
        <v>35.97814217415855</v>
      </c>
      <c r="AD34" s="15">
        <f t="shared" si="46"/>
        <v>0</v>
      </c>
      <c r="AE34" s="15">
        <f t="shared" si="47"/>
        <v>5.992629891400009</v>
      </c>
      <c r="AF34" s="15">
        <f t="shared" si="48"/>
        <v>-0.03181520399878433</v>
      </c>
      <c r="AG34" s="15">
        <f t="shared" si="12"/>
        <v>1.5707963267948966</v>
      </c>
      <c r="AH34" s="56">
        <f t="shared" si="13"/>
        <v>-0.03186784763164141</v>
      </c>
      <c r="AI34" s="15">
        <f t="shared" si="14"/>
        <v>0.7853981633974483</v>
      </c>
      <c r="AJ34" s="15">
        <f t="shared" si="15"/>
        <v>0</v>
      </c>
      <c r="AK34" s="57">
        <f t="shared" si="16"/>
        <v>0</v>
      </c>
      <c r="AL34" s="57">
        <f t="shared" si="17"/>
        <v>0</v>
      </c>
      <c r="AM34" s="58">
        <f t="shared" si="18"/>
        <v>-236.46149866843066</v>
      </c>
      <c r="AN34" s="59">
        <f t="shared" si="19"/>
        <v>0</v>
      </c>
      <c r="AO34" s="60">
        <f t="shared" si="20"/>
        <v>-242.46149866843066</v>
      </c>
      <c r="AP34" s="59">
        <f t="shared" si="21"/>
        <v>0</v>
      </c>
      <c r="AQ34" s="59">
        <f t="shared" si="22"/>
        <v>0</v>
      </c>
      <c r="AR34" s="61">
        <f t="shared" si="23"/>
        <v>0.008453522668725818</v>
      </c>
      <c r="AS34" s="59">
        <f t="shared" si="24"/>
        <v>0</v>
      </c>
      <c r="AT34" s="60">
        <f t="shared" si="25"/>
        <v>-236.46149866843066</v>
      </c>
      <c r="AU34" s="59">
        <f t="shared" si="54"/>
        <v>0</v>
      </c>
      <c r="AV34" s="60">
        <f t="shared" si="26"/>
        <v>-236.46149866843066</v>
      </c>
      <c r="AW34" s="59">
        <f t="shared" si="27"/>
        <v>0</v>
      </c>
      <c r="AX34" s="59">
        <f t="shared" si="28"/>
        <v>0</v>
      </c>
      <c r="AY34" s="59">
        <f t="shared" si="29"/>
        <v>0</v>
      </c>
      <c r="AZ34" s="59">
        <f t="shared" si="30"/>
        <v>0</v>
      </c>
      <c r="BA34" s="59">
        <f t="shared" si="31"/>
        <v>0</v>
      </c>
      <c r="BB34" s="60" t="b">
        <f t="shared" si="32"/>
        <v>0</v>
      </c>
      <c r="BC34" s="60" t="b">
        <f t="shared" si="33"/>
        <v>0</v>
      </c>
      <c r="BD34" s="15" t="b">
        <f t="shared" si="34"/>
        <v>0</v>
      </c>
      <c r="BE34" s="15">
        <f t="shared" si="35"/>
        <v>-0.03181520399878433</v>
      </c>
      <c r="BF34" s="103">
        <f t="shared" si="36"/>
        <v>0.008453522668725818</v>
      </c>
      <c r="BG34" s="103">
        <f t="shared" si="49"/>
        <v>0.008453522668725818</v>
      </c>
      <c r="BH34" s="104">
        <f t="shared" si="55"/>
        <v>29</v>
      </c>
      <c r="BI34" s="105">
        <f t="shared" si="37"/>
        <v>0.008453522668725818</v>
      </c>
      <c r="BJ34" s="94">
        <v>4</v>
      </c>
      <c r="BK34" s="60">
        <f t="shared" si="56"/>
        <v>0.008453522668725818</v>
      </c>
      <c r="BL34" s="106">
        <f t="shared" si="50"/>
        <v>0.03381409067490327</v>
      </c>
      <c r="BM34" s="59"/>
      <c r="BN34" s="59"/>
      <c r="BO34" s="113">
        <f t="shared" si="57"/>
        <v>0.3100000000000001</v>
      </c>
      <c r="BP34" s="107">
        <f t="shared" si="58"/>
        <v>31.772</v>
      </c>
      <c r="BQ34" s="108">
        <f>BQ33+BX$26</f>
        <v>39.794000000000004</v>
      </c>
      <c r="BR34" s="109">
        <f>BR33+BY$26</f>
        <v>39.23599999999999</v>
      </c>
      <c r="BS34" s="60"/>
      <c r="BT34" s="60"/>
      <c r="BU34" s="60"/>
      <c r="BV34" s="60"/>
      <c r="BW34" s="59"/>
      <c r="BX34" s="88"/>
      <c r="BY34" s="88"/>
      <c r="BZ34" s="88"/>
      <c r="CA34" s="15"/>
      <c r="CB34" s="72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</row>
    <row r="35" spans="1:208" ht="12.75">
      <c r="A35" s="75"/>
      <c r="B35" s="75"/>
      <c r="C35" s="139"/>
      <c r="D35" s="75"/>
      <c r="E35" s="129"/>
      <c r="F35" s="129">
        <f t="shared" si="52"/>
        <v>30</v>
      </c>
      <c r="G35" s="129">
        <f t="shared" si="38"/>
        <v>0.51</v>
      </c>
      <c r="H35" s="133">
        <v>1</v>
      </c>
      <c r="I35" s="129">
        <f t="shared" si="0"/>
        <v>-12</v>
      </c>
      <c r="J35" s="129">
        <f t="shared" si="1"/>
        <v>35.2401</v>
      </c>
      <c r="K35" s="129">
        <f t="shared" si="39"/>
        <v>1.7434448657758028</v>
      </c>
      <c r="L35" s="129">
        <f t="shared" si="2"/>
        <v>6.871722432887902</v>
      </c>
      <c r="M35" s="129">
        <f t="shared" si="40"/>
        <v>0.51</v>
      </c>
      <c r="N35" s="129">
        <f t="shared" si="3"/>
        <v>1.0587065738607486</v>
      </c>
      <c r="O35" s="129">
        <f t="shared" si="4"/>
        <v>0.31578129087283885</v>
      </c>
      <c r="P35" s="129">
        <f t="shared" si="5"/>
        <v>3.06</v>
      </c>
      <c r="Q35" s="129">
        <f t="shared" si="6"/>
        <v>0</v>
      </c>
      <c r="R35" s="15">
        <f t="shared" si="7"/>
        <v>0</v>
      </c>
      <c r="S35" s="110">
        <f t="shared" si="41"/>
        <v>3.375781290872839</v>
      </c>
      <c r="T35" s="111">
        <f t="shared" si="53"/>
        <v>0.51</v>
      </c>
      <c r="U35" s="112">
        <f t="shared" si="42"/>
        <v>3.375781290872839</v>
      </c>
      <c r="V35" s="15"/>
      <c r="W35" s="88">
        <f t="shared" si="43"/>
        <v>5.7600000000000025</v>
      </c>
      <c r="X35" s="88">
        <f t="shared" si="44"/>
        <v>85.76</v>
      </c>
      <c r="Y35" s="56">
        <f t="shared" si="45"/>
        <v>0.008988966233766327</v>
      </c>
      <c r="Z35" s="56">
        <f t="shared" si="8"/>
        <v>0.008988966233766327</v>
      </c>
      <c r="AA35" s="15">
        <f t="shared" si="9"/>
        <v>1.0000510204081632</v>
      </c>
      <c r="AB35" s="15">
        <f t="shared" si="10"/>
        <v>-11.985842699517626</v>
      </c>
      <c r="AC35" s="15">
        <f t="shared" si="11"/>
        <v>35.98210286904642</v>
      </c>
      <c r="AD35" s="15">
        <f t="shared" si="46"/>
        <v>0</v>
      </c>
      <c r="AE35" s="15">
        <f t="shared" si="47"/>
        <v>5.992615604064729</v>
      </c>
      <c r="AF35" s="15">
        <f t="shared" si="48"/>
        <v>-0.03381543093812444</v>
      </c>
      <c r="AG35" s="15">
        <f t="shared" si="12"/>
        <v>1.5707963267948966</v>
      </c>
      <c r="AH35" s="56">
        <f t="shared" si="13"/>
        <v>-0.03386817662337638</v>
      </c>
      <c r="AI35" s="15">
        <f t="shared" si="14"/>
        <v>0.7853981633974483</v>
      </c>
      <c r="AJ35" s="15">
        <f t="shared" si="15"/>
        <v>0</v>
      </c>
      <c r="AK35" s="57">
        <f t="shared" si="16"/>
        <v>0</v>
      </c>
      <c r="AL35" s="57">
        <f t="shared" si="17"/>
        <v>0</v>
      </c>
      <c r="AM35" s="58">
        <f t="shared" si="18"/>
        <v>-236.74154472727355</v>
      </c>
      <c r="AN35" s="59">
        <f t="shared" si="19"/>
        <v>0</v>
      </c>
      <c r="AO35" s="60">
        <f t="shared" si="20"/>
        <v>-242.74154472727355</v>
      </c>
      <c r="AP35" s="59">
        <f t="shared" si="21"/>
        <v>0</v>
      </c>
      <c r="AQ35" s="59">
        <f t="shared" si="22"/>
        <v>0</v>
      </c>
      <c r="AR35" s="61">
        <f t="shared" si="23"/>
        <v>0.005656105976625402</v>
      </c>
      <c r="AS35" s="59">
        <f t="shared" si="24"/>
        <v>0</v>
      </c>
      <c r="AT35" s="60">
        <f t="shared" si="25"/>
        <v>-236.74154472727355</v>
      </c>
      <c r="AU35" s="59">
        <f t="shared" si="54"/>
        <v>0</v>
      </c>
      <c r="AV35" s="60">
        <f t="shared" si="26"/>
        <v>-236.74154472727355</v>
      </c>
      <c r="AW35" s="59">
        <f t="shared" si="27"/>
        <v>0</v>
      </c>
      <c r="AX35" s="59">
        <f t="shared" si="28"/>
        <v>0</v>
      </c>
      <c r="AY35" s="59">
        <f t="shared" si="29"/>
        <v>0</v>
      </c>
      <c r="AZ35" s="59">
        <f t="shared" si="30"/>
        <v>0</v>
      </c>
      <c r="BA35" s="59">
        <f t="shared" si="31"/>
        <v>0</v>
      </c>
      <c r="BB35" s="60" t="b">
        <f t="shared" si="32"/>
        <v>0</v>
      </c>
      <c r="BC35" s="60" t="b">
        <f t="shared" si="33"/>
        <v>0</v>
      </c>
      <c r="BD35" s="15" t="b">
        <f t="shared" si="34"/>
        <v>0</v>
      </c>
      <c r="BE35" s="15">
        <f t="shared" si="35"/>
        <v>-0.03381543093812444</v>
      </c>
      <c r="BF35" s="103">
        <f t="shared" si="36"/>
        <v>0.005656105976625402</v>
      </c>
      <c r="BG35" s="103">
        <f t="shared" si="49"/>
        <v>0.005656105976625402</v>
      </c>
      <c r="BH35" s="104">
        <f t="shared" si="55"/>
        <v>30</v>
      </c>
      <c r="BI35" s="105">
        <f t="shared" si="37"/>
        <v>0.005656105976625402</v>
      </c>
      <c r="BJ35" s="94">
        <v>2</v>
      </c>
      <c r="BK35" s="60">
        <f t="shared" si="56"/>
        <v>0.005656105976625402</v>
      </c>
      <c r="BL35" s="106">
        <f t="shared" si="50"/>
        <v>0.011312211953250804</v>
      </c>
      <c r="BM35" s="59"/>
      <c r="BN35" s="115"/>
      <c r="BO35" s="113">
        <f t="shared" si="57"/>
        <v>0.3200000000000001</v>
      </c>
      <c r="BP35" s="107">
        <f t="shared" si="58"/>
        <v>32.733999999999995</v>
      </c>
      <c r="BQ35" s="108">
        <f aca="true" t="shared" si="61" ref="BQ35:BQ43">BQ34+BX$26</f>
        <v>41.048</v>
      </c>
      <c r="BR35" s="109">
        <f aca="true" t="shared" si="62" ref="BR35:BR43">BR34+BY$26</f>
        <v>40.43199999999999</v>
      </c>
      <c r="BS35" s="60"/>
      <c r="BT35" s="60"/>
      <c r="BU35" s="60"/>
      <c r="BV35" s="60"/>
      <c r="BW35" s="59"/>
      <c r="BX35" s="88"/>
      <c r="BY35" s="88"/>
      <c r="BZ35" s="88"/>
      <c r="CA35" s="15"/>
      <c r="CB35" s="72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</row>
    <row r="36" spans="1:208" ht="12.75">
      <c r="A36" s="75"/>
      <c r="B36" s="131" t="s">
        <v>69</v>
      </c>
      <c r="C36" s="131">
        <f>C$20*C30^2+C$21*C30+C$22</f>
        <v>-5.5</v>
      </c>
      <c r="D36" s="75"/>
      <c r="E36" s="129"/>
      <c r="F36" s="129">
        <f t="shared" si="52"/>
        <v>31</v>
      </c>
      <c r="G36" s="129">
        <f t="shared" si="38"/>
        <v>0.5269999999999999</v>
      </c>
      <c r="H36" s="133">
        <v>1</v>
      </c>
      <c r="I36" s="129">
        <f t="shared" si="0"/>
        <v>-12</v>
      </c>
      <c r="J36" s="129">
        <f t="shared" si="1"/>
        <v>35.223729</v>
      </c>
      <c r="K36" s="129">
        <f t="shared" si="39"/>
        <v>1.7621248536922702</v>
      </c>
      <c r="L36" s="129">
        <f t="shared" si="2"/>
        <v>6.881062426846135</v>
      </c>
      <c r="M36" s="129">
        <f t="shared" si="40"/>
        <v>0.5269999999999999</v>
      </c>
      <c r="N36" s="129">
        <f t="shared" si="3"/>
        <v>1.0781036685871963</v>
      </c>
      <c r="O36" s="129">
        <f t="shared" si="4"/>
        <v>0.33068057034448733</v>
      </c>
      <c r="P36" s="129">
        <f t="shared" si="5"/>
        <v>3.1619999999999995</v>
      </c>
      <c r="Q36" s="129">
        <f t="shared" si="6"/>
        <v>0</v>
      </c>
      <c r="R36" s="15">
        <f t="shared" si="7"/>
        <v>0</v>
      </c>
      <c r="S36" s="110">
        <f t="shared" si="41"/>
        <v>3.4926805703444868</v>
      </c>
      <c r="T36" s="111">
        <f t="shared" si="53"/>
        <v>0.527</v>
      </c>
      <c r="U36" s="112">
        <f t="shared" si="42"/>
        <v>3.4926805703444868</v>
      </c>
      <c r="V36" s="15"/>
      <c r="W36" s="88">
        <f t="shared" si="43"/>
        <v>5.952000000000003</v>
      </c>
      <c r="X36" s="88">
        <f t="shared" si="44"/>
        <v>85.952</v>
      </c>
      <c r="Y36" s="56">
        <f t="shared" si="45"/>
        <v>0.006983762663518078</v>
      </c>
      <c r="Z36" s="56">
        <f t="shared" si="8"/>
        <v>0.006983762663518078</v>
      </c>
      <c r="AA36" s="15">
        <f t="shared" si="9"/>
        <v>1.0000510204081632</v>
      </c>
      <c r="AB36" s="15">
        <f t="shared" si="10"/>
        <v>-11.985814053752335</v>
      </c>
      <c r="AC36" s="15">
        <f t="shared" si="11"/>
        <v>35.98608124761391</v>
      </c>
      <c r="AD36" s="15">
        <f t="shared" si="46"/>
        <v>0</v>
      </c>
      <c r="AE36" s="15">
        <f t="shared" si="47"/>
        <v>5.992601281912806</v>
      </c>
      <c r="AF36" s="15">
        <f t="shared" si="48"/>
        <v>-0.03582053220728752</v>
      </c>
      <c r="AG36" s="15">
        <f t="shared" si="12"/>
        <v>1.5707963267948966</v>
      </c>
      <c r="AH36" s="56">
        <f t="shared" si="13"/>
        <v>-0.03587338019362463</v>
      </c>
      <c r="AI36" s="15">
        <f t="shared" si="14"/>
        <v>0.7853981633974483</v>
      </c>
      <c r="AJ36" s="15">
        <f t="shared" si="15"/>
        <v>0</v>
      </c>
      <c r="AK36" s="57">
        <f t="shared" si="16"/>
        <v>0</v>
      </c>
      <c r="AL36" s="57">
        <f t="shared" si="17"/>
        <v>0</v>
      </c>
      <c r="AM36" s="58">
        <f t="shared" si="18"/>
        <v>-237.02227322710831</v>
      </c>
      <c r="AN36" s="59">
        <f t="shared" si="19"/>
        <v>0</v>
      </c>
      <c r="AO36" s="60">
        <f t="shared" si="20"/>
        <v>-243.02227322710831</v>
      </c>
      <c r="AP36" s="59">
        <f t="shared" si="21"/>
        <v>0</v>
      </c>
      <c r="AQ36" s="59">
        <f t="shared" si="22"/>
        <v>0</v>
      </c>
      <c r="AR36" s="61">
        <f t="shared" si="23"/>
        <v>0.0034141058658244505</v>
      </c>
      <c r="AS36" s="59">
        <f t="shared" si="24"/>
        <v>0</v>
      </c>
      <c r="AT36" s="60">
        <f t="shared" si="25"/>
        <v>-237.02227322710831</v>
      </c>
      <c r="AU36" s="59">
        <f t="shared" si="54"/>
        <v>0</v>
      </c>
      <c r="AV36" s="60">
        <f t="shared" si="26"/>
        <v>-237.02227322710831</v>
      </c>
      <c r="AW36" s="59">
        <f t="shared" si="27"/>
        <v>0</v>
      </c>
      <c r="AX36" s="59">
        <f t="shared" si="28"/>
        <v>0</v>
      </c>
      <c r="AY36" s="59">
        <f t="shared" si="29"/>
        <v>0</v>
      </c>
      <c r="AZ36" s="59">
        <f t="shared" si="30"/>
        <v>0</v>
      </c>
      <c r="BA36" s="59">
        <f t="shared" si="31"/>
        <v>0</v>
      </c>
      <c r="BB36" s="60" t="b">
        <f t="shared" si="32"/>
        <v>0</v>
      </c>
      <c r="BC36" s="60" t="b">
        <f t="shared" si="33"/>
        <v>0</v>
      </c>
      <c r="BD36" s="15" t="b">
        <f t="shared" si="34"/>
        <v>0</v>
      </c>
      <c r="BE36" s="15">
        <f t="shared" si="35"/>
        <v>-0.03582053220728752</v>
      </c>
      <c r="BF36" s="103">
        <f t="shared" si="36"/>
        <v>0.0034141058658244505</v>
      </c>
      <c r="BG36" s="103">
        <f t="shared" si="49"/>
        <v>0.0034141058658244505</v>
      </c>
      <c r="BH36" s="104">
        <f t="shared" si="55"/>
        <v>31</v>
      </c>
      <c r="BI36" s="105">
        <f t="shared" si="37"/>
        <v>0.0034141058658244505</v>
      </c>
      <c r="BJ36" s="94">
        <v>4</v>
      </c>
      <c r="BK36" s="60">
        <f t="shared" si="56"/>
        <v>0.0034141058658244505</v>
      </c>
      <c r="BL36" s="106">
        <f t="shared" si="50"/>
        <v>0.013656423463297802</v>
      </c>
      <c r="BM36" s="59"/>
      <c r="BN36" s="59"/>
      <c r="BO36" s="113">
        <f t="shared" si="57"/>
        <v>0.3300000000000001</v>
      </c>
      <c r="BP36" s="107">
        <f t="shared" si="58"/>
        <v>33.696</v>
      </c>
      <c r="BQ36" s="108">
        <f t="shared" si="61"/>
        <v>42.302</v>
      </c>
      <c r="BR36" s="109">
        <f t="shared" si="62"/>
        <v>41.627999999999986</v>
      </c>
      <c r="BS36" s="60"/>
      <c r="BT36" s="60"/>
      <c r="BU36" s="60"/>
      <c r="BV36" s="60"/>
      <c r="BW36" s="59"/>
      <c r="BX36" s="88"/>
      <c r="BY36" s="88"/>
      <c r="BZ36" s="88"/>
      <c r="CA36" s="15"/>
      <c r="CB36" s="72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</row>
    <row r="37" spans="1:208" ht="12.75">
      <c r="A37" s="75"/>
      <c r="B37" s="131" t="s">
        <v>78</v>
      </c>
      <c r="C37" s="131">
        <f>C$20*D31^2+C$21*D31+C$22</f>
        <v>-5.639560991735538</v>
      </c>
      <c r="D37" s="91" t="s">
        <v>70</v>
      </c>
      <c r="E37" s="129"/>
      <c r="F37" s="129">
        <f t="shared" si="52"/>
        <v>32</v>
      </c>
      <c r="G37" s="129">
        <f t="shared" si="38"/>
        <v>0.544</v>
      </c>
      <c r="H37" s="133">
        <v>1</v>
      </c>
      <c r="I37" s="129">
        <f t="shared" si="0"/>
        <v>-12</v>
      </c>
      <c r="J37" s="129">
        <f t="shared" si="1"/>
        <v>35.207936</v>
      </c>
      <c r="K37" s="129">
        <f t="shared" si="39"/>
        <v>1.7799595501021965</v>
      </c>
      <c r="L37" s="129">
        <f t="shared" si="2"/>
        <v>6.889979775051098</v>
      </c>
      <c r="M37" s="129">
        <f t="shared" si="40"/>
        <v>0.544</v>
      </c>
      <c r="N37" s="129">
        <f t="shared" si="3"/>
        <v>1.0973008146448402</v>
      </c>
      <c r="O37" s="129">
        <f aca="true" t="shared" si="63" ref="O37:O68">IF(G37&lt;=R,R^2/2*N37-(R-G37)^2*TAN(N37)/2,N$2)</f>
        <v>0.3457350186107703</v>
      </c>
      <c r="P37" s="129">
        <f t="shared" si="5"/>
        <v>3.2640000000000002</v>
      </c>
      <c r="Q37" s="129">
        <f t="shared" si="6"/>
        <v>0</v>
      </c>
      <c r="R37" s="15">
        <f aca="true" t="shared" si="64" ref="R37:R68">IF(AND(beta=0,G37&gt;=R,hmx=hmw),R*(G37-R),IF(G37&lt;R,0,(2*db-(G37-R)/beta)*(G37-R)/2))</f>
        <v>0</v>
      </c>
      <c r="S37" s="110">
        <f t="shared" si="41"/>
        <v>3.6097350186107704</v>
      </c>
      <c r="T37" s="111">
        <f t="shared" si="53"/>
        <v>0.544</v>
      </c>
      <c r="U37" s="112">
        <f t="shared" si="42"/>
        <v>3.6097350186107704</v>
      </c>
      <c r="V37" s="15"/>
      <c r="W37" s="88">
        <f t="shared" si="43"/>
        <v>6.144000000000003</v>
      </c>
      <c r="X37" s="88">
        <f t="shared" si="44"/>
        <v>86.144</v>
      </c>
      <c r="Y37" s="56">
        <f t="shared" si="45"/>
        <v>0.004973684514757437</v>
      </c>
      <c r="Z37" s="56">
        <f aca="true" t="shared" si="65" ref="Z37:Z68">IF(AND(R=0,Y37&gt;h),h,Y37)</f>
        <v>0.004973684514757437</v>
      </c>
      <c r="AA37" s="15">
        <f t="shared" si="9"/>
        <v>1.0000510204081632</v>
      </c>
      <c r="AB37" s="15">
        <f aca="true" t="shared" si="66" ref="AB37:AB68">2*(Y37*DT-R*DT-bz)</f>
        <v>-11.985785338350212</v>
      </c>
      <c r="AC37" s="15">
        <f t="shared" si="11"/>
        <v>35.99007736850814</v>
      </c>
      <c r="AD37" s="15">
        <f t="shared" si="46"/>
        <v>0</v>
      </c>
      <c r="AE37" s="15">
        <f t="shared" si="47"/>
        <v>5.992586924944242</v>
      </c>
      <c r="AF37" s="15">
        <f aca="true" t="shared" si="67" ref="AF37:AF68">Z37+DT*AE37</f>
        <v>-0.037830507806272715</v>
      </c>
      <c r="AG37" s="15">
        <f aca="true" t="shared" si="68" ref="AG37:AG68">IF(AND(AF37&gt;0,AF37&lt;=R),ACOS((R-AF37)/R),PI()/2)</f>
        <v>1.5707963267948966</v>
      </c>
      <c r="AH37" s="56">
        <f aca="true" t="shared" si="69" ref="AH37:AH68">Z37+DT*bz</f>
        <v>-0.03788345834238527</v>
      </c>
      <c r="AI37" s="15">
        <f aca="true" t="shared" si="70" ref="AI37:AI68">IF(AG37&gt;=PI()/2,N$2,R^2*AG37/2)</f>
        <v>0.7853981633974483</v>
      </c>
      <c r="AJ37" s="15">
        <f aca="true" t="shared" si="71" ref="AJ37:AJ68">IF(AG37&gt;=PI()/2,0,(R-AH37)*(AE37-bz)/2)</f>
        <v>0</v>
      </c>
      <c r="AK37" s="57">
        <f aca="true" t="shared" si="72" ref="AK37:AK68">IF(AND(AF37&gt;0,AH37&gt;=0),AI37-AJ37,IF(AND(AH37&gt;h,AF37&gt;=R),N$2,0))</f>
        <v>0</v>
      </c>
      <c r="AL37" s="57">
        <f t="shared" si="17"/>
        <v>0</v>
      </c>
      <c r="AM37" s="58">
        <f t="shared" si="18"/>
        <v>-237.3036841679348</v>
      </c>
      <c r="AN37" s="59">
        <f t="shared" si="19"/>
        <v>0</v>
      </c>
      <c r="AO37" s="60">
        <f t="shared" si="20"/>
        <v>-243.3036841679348</v>
      </c>
      <c r="AP37" s="59">
        <f aca="true" t="shared" si="73" ref="AP37:AP68">IF(AND(Y37&gt;=h,AH37&gt;0,AH37&lt;h),bz*h+(h-AH37)*AO37/2,0)</f>
        <v>0</v>
      </c>
      <c r="AQ37" s="59">
        <f aca="true" t="shared" si="74" ref="AQ37:AQ68">IF(AND(Y37&lt;=0,AH37&gt;0,AH37&lt;h),(AH37^2/DT/2),0)</f>
        <v>0</v>
      </c>
      <c r="AR37" s="61">
        <f aca="true" t="shared" si="75" ref="AR37:AR68">IF(AND(AH37&lt;0,Y37&gt;0,Y37&lt;h),-((Y37)^2/DT/2),0)</f>
        <v>0.001731627635663661</v>
      </c>
      <c r="AS37" s="59">
        <f aca="true" t="shared" si="76" ref="AS37:AS68">IF(AND(Y37&gt;0,Y37&lt;h,AH37&gt;=0,AH37&lt;h),(Y37+AH37)/2*bz,0)</f>
        <v>0</v>
      </c>
      <c r="AT37" s="60">
        <f aca="true" t="shared" si="77" ref="AT37:AT68">IF((bz*beta+Y37-h)/(beta-DT)&gt;bz+R,bz+R,(bz*beta+Y37-h)/(beta-DT))</f>
        <v>-237.3036841679348</v>
      </c>
      <c r="AU37" s="59">
        <f t="shared" si="54"/>
        <v>0</v>
      </c>
      <c r="AV37" s="60">
        <f aca="true" t="shared" si="78" ref="AV37:AV68">IF((h-bz*beta-Y37)/(DT-beta)&gt;(bz+R),(bz+R),(h-bz*beta-Y37)/(DT-beta))</f>
        <v>-237.3036841679348</v>
      </c>
      <c r="AW37" s="59">
        <f aca="true" t="shared" si="79" ref="AW37:AW68">IF(AF37&gt;=R,-AP$1,IF(OR(AH37&lt;h,beta=0),0,-(AH37-h)*(AV37-bz)/2))</f>
        <v>0</v>
      </c>
      <c r="AX37" s="59">
        <f aca="true" t="shared" si="80" ref="AX37:AX68">IF(BD37,pro,IF(AND(AH37&lt;=hmw,AF37&lt;=hmx,AH37&gt;R,AF37&gt;=R,hmw=hmx),pro-(hmw+hmx-AH37-AF37)/2*R,0))</f>
        <v>0</v>
      </c>
      <c r="AY37" s="59">
        <f aca="true" t="shared" si="81" ref="AY37:AY68">IF(BC37,pro+(hmx-AF37)^2/2/DT,0)</f>
        <v>0</v>
      </c>
      <c r="AZ37" s="59">
        <f aca="true" t="shared" si="82" ref="AZ37:AZ68">IF(BB37,pro-(hmw-AH37)^2/2/DT,0)</f>
        <v>0</v>
      </c>
      <c r="BA37" s="59">
        <f aca="true" t="shared" si="83" ref="BA37:BA68">IF(AND(AH37&lt;R,AF37&gt;R,hmx&gt;R,hmw=hmx),(AF37-R)^2/2/DT,0)</f>
        <v>0</v>
      </c>
      <c r="BB37" s="60" t="b">
        <f aca="true" t="shared" si="84" ref="BB37:BB68">AND(AH37&gt;R,AF37&gt;R,AH37&lt;hmx,AF37&gt;=hmx,hmw=hmx)</f>
        <v>0</v>
      </c>
      <c r="BC37" s="60" t="b">
        <f aca="true" t="shared" si="85" ref="BC37:BC68">AND(AH37&gt;R,AF37&gt;R,AF37&lt;hmx,AH37&gt;=hmw,hmw=hmx)</f>
        <v>0</v>
      </c>
      <c r="BD37" s="15" t="b">
        <f aca="true" t="shared" si="86" ref="BD37:BD68">AND(AH37&gt;hmw,AF37&gt;hmx,hmx&gt;R,hmw&gt;R)</f>
        <v>0</v>
      </c>
      <c r="BE37" s="15">
        <f aca="true" t="shared" si="87" ref="BE37:BE68">IF(AF37&gt;h,h,AF37)</f>
        <v>-0.037830507806272715</v>
      </c>
      <c r="BF37" s="103">
        <f aca="true" t="shared" si="88" ref="BF37:BF68">IF(AND(hmx=hmw,R=0,AF37&gt;0,AH37&gt;0),(Z37+BE37)*bz/2,(AR37+AS37))</f>
        <v>0.001731627635663661</v>
      </c>
      <c r="BG37" s="103">
        <f t="shared" si="49"/>
        <v>0.001731627635663661</v>
      </c>
      <c r="BH37" s="104">
        <f t="shared" si="55"/>
        <v>32</v>
      </c>
      <c r="BI37" s="105">
        <f aca="true" t="shared" si="89" ref="BI37:BI68">IF(R&gt;0,(AK37+AL37+AN37+AP37+AQ37+AR37+AS37+AU37+AW37+AX37+AY37+AZ37+BA37),BG37)</f>
        <v>0.001731627635663661</v>
      </c>
      <c r="BJ37" s="94">
        <v>2</v>
      </c>
      <c r="BK37" s="60">
        <f t="shared" si="56"/>
        <v>0.001731627635663661</v>
      </c>
      <c r="BL37" s="106">
        <f t="shared" si="50"/>
        <v>0.003463255271327322</v>
      </c>
      <c r="BM37" s="59"/>
      <c r="BN37" s="59"/>
      <c r="BO37" s="113">
        <f t="shared" si="57"/>
        <v>0.34000000000000014</v>
      </c>
      <c r="BP37" s="107">
        <f t="shared" si="58"/>
        <v>34.658</v>
      </c>
      <c r="BQ37" s="108">
        <f t="shared" si="61"/>
        <v>43.556</v>
      </c>
      <c r="BR37" s="109">
        <f t="shared" si="62"/>
        <v>42.823999999999984</v>
      </c>
      <c r="BS37" s="60"/>
      <c r="BT37" s="60"/>
      <c r="BU37" s="60"/>
      <c r="BV37" s="60"/>
      <c r="BW37" s="59"/>
      <c r="BX37" s="88"/>
      <c r="BY37" s="88"/>
      <c r="BZ37" s="88"/>
      <c r="CA37" s="15"/>
      <c r="CB37" s="72"/>
      <c r="CC37" s="72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</row>
    <row r="38" spans="1:208" ht="12.75">
      <c r="A38" s="75"/>
      <c r="B38" s="131" t="s">
        <v>79</v>
      </c>
      <c r="C38" s="131">
        <f>$C$20*C31^2+$C$21*C31+$C$22</f>
        <v>-5.849586776859504</v>
      </c>
      <c r="D38" s="131">
        <f>$C$20*D32^2+$C$21*D32+$C$22</f>
        <v>-5.8398512396694215</v>
      </c>
      <c r="E38" s="129"/>
      <c r="F38" s="129">
        <f t="shared" si="52"/>
        <v>33</v>
      </c>
      <c r="G38" s="129">
        <f aca="true" t="shared" si="90" ref="G38:G69">hmx*F38/100</f>
        <v>0.561</v>
      </c>
      <c r="H38" s="133">
        <v>1</v>
      </c>
      <c r="I38" s="129">
        <f t="shared" si="0"/>
        <v>-12</v>
      </c>
      <c r="J38" s="129">
        <f t="shared" si="1"/>
        <v>35.192721</v>
      </c>
      <c r="K38" s="129">
        <f t="shared" si="39"/>
        <v>1.7969741233529226</v>
      </c>
      <c r="L38" s="129">
        <f t="shared" si="2"/>
        <v>6.8984870616764615</v>
      </c>
      <c r="M38" s="129">
        <f t="shared" si="40"/>
        <v>0.561</v>
      </c>
      <c r="N38" s="129">
        <f t="shared" si="3"/>
        <v>1.1163109384961818</v>
      </c>
      <c r="O38" s="129">
        <f t="shared" si="63"/>
        <v>0.36093755921010784</v>
      </c>
      <c r="P38" s="129">
        <f t="shared" si="5"/>
        <v>3.3660000000000005</v>
      </c>
      <c r="Q38" s="129">
        <f t="shared" si="6"/>
        <v>0</v>
      </c>
      <c r="R38" s="15">
        <f t="shared" si="64"/>
        <v>0</v>
      </c>
      <c r="S38" s="110">
        <f t="shared" si="41"/>
        <v>3.7269375592101084</v>
      </c>
      <c r="T38" s="111">
        <f t="shared" si="53"/>
        <v>0.561</v>
      </c>
      <c r="U38" s="112">
        <f t="shared" si="42"/>
        <v>3.7269375592101084</v>
      </c>
      <c r="V38" s="15"/>
      <c r="W38" s="88">
        <f t="shared" si="43"/>
        <v>6.336000000000003</v>
      </c>
      <c r="X38" s="88">
        <f t="shared" si="44"/>
        <v>86.336</v>
      </c>
      <c r="Y38" s="56">
        <f t="shared" si="45"/>
        <v>0.0029587317874852914</v>
      </c>
      <c r="Z38" s="56">
        <f t="shared" si="65"/>
        <v>0.0029587317874852914</v>
      </c>
      <c r="AA38" s="15">
        <f t="shared" si="9"/>
        <v>1.0000510204081632</v>
      </c>
      <c r="AB38" s="15">
        <f t="shared" si="66"/>
        <v>-11.98575655331125</v>
      </c>
      <c r="AC38" s="15">
        <f t="shared" si="11"/>
        <v>35.994091290518824</v>
      </c>
      <c r="AD38" s="15">
        <f t="shared" si="46"/>
        <v>0</v>
      </c>
      <c r="AE38" s="15">
        <f t="shared" si="47"/>
        <v>5.992572533159035</v>
      </c>
      <c r="AF38" s="15">
        <f t="shared" si="67"/>
        <v>-0.03984535773507909</v>
      </c>
      <c r="AG38" s="15">
        <f t="shared" si="68"/>
        <v>1.5707963267948966</v>
      </c>
      <c r="AH38" s="56">
        <f t="shared" si="69"/>
        <v>-0.03989841106965741</v>
      </c>
      <c r="AI38" s="15">
        <f t="shared" si="70"/>
        <v>0.7853981633974483</v>
      </c>
      <c r="AJ38" s="15">
        <f t="shared" si="71"/>
        <v>0</v>
      </c>
      <c r="AK38" s="57">
        <f t="shared" si="72"/>
        <v>0</v>
      </c>
      <c r="AL38" s="57">
        <f t="shared" si="17"/>
        <v>0</v>
      </c>
      <c r="AM38" s="58">
        <f t="shared" si="18"/>
        <v>-237.5857775497529</v>
      </c>
      <c r="AN38" s="59">
        <f t="shared" si="19"/>
        <v>0</v>
      </c>
      <c r="AO38" s="60">
        <f t="shared" si="20"/>
        <v>-243.5857775497529</v>
      </c>
      <c r="AP38" s="59">
        <f t="shared" si="73"/>
        <v>0</v>
      </c>
      <c r="AQ38" s="59">
        <f t="shared" si="74"/>
        <v>0</v>
      </c>
      <c r="AR38" s="61">
        <f t="shared" si="75"/>
        <v>0.0006127865653193157</v>
      </c>
      <c r="AS38" s="59">
        <f t="shared" si="76"/>
        <v>0</v>
      </c>
      <c r="AT38" s="60">
        <f t="shared" si="77"/>
        <v>-237.5857775497529</v>
      </c>
      <c r="AU38" s="59">
        <f t="shared" si="54"/>
        <v>0</v>
      </c>
      <c r="AV38" s="60">
        <f t="shared" si="78"/>
        <v>-237.5857775497529</v>
      </c>
      <c r="AW38" s="59">
        <f t="shared" si="79"/>
        <v>0</v>
      </c>
      <c r="AX38" s="59">
        <f t="shared" si="80"/>
        <v>0</v>
      </c>
      <c r="AY38" s="59">
        <f t="shared" si="81"/>
        <v>0</v>
      </c>
      <c r="AZ38" s="59">
        <f t="shared" si="82"/>
        <v>0</v>
      </c>
      <c r="BA38" s="59">
        <f t="shared" si="83"/>
        <v>0</v>
      </c>
      <c r="BB38" s="60" t="b">
        <f t="shared" si="84"/>
        <v>0</v>
      </c>
      <c r="BC38" s="60" t="b">
        <f t="shared" si="85"/>
        <v>0</v>
      </c>
      <c r="BD38" s="15" t="b">
        <f t="shared" si="86"/>
        <v>0</v>
      </c>
      <c r="BE38" s="15">
        <f t="shared" si="87"/>
        <v>-0.03984535773507909</v>
      </c>
      <c r="BF38" s="103">
        <f t="shared" si="88"/>
        <v>0.0006127865653193157</v>
      </c>
      <c r="BG38" s="103">
        <f t="shared" si="49"/>
        <v>0.0006127865653193157</v>
      </c>
      <c r="BH38" s="104">
        <f t="shared" si="55"/>
        <v>33</v>
      </c>
      <c r="BI38" s="105">
        <f t="shared" si="89"/>
        <v>0.0006127865653193157</v>
      </c>
      <c r="BJ38" s="94">
        <v>4</v>
      </c>
      <c r="BK38" s="60">
        <f t="shared" si="56"/>
        <v>0.0006127865653193157</v>
      </c>
      <c r="BL38" s="106">
        <f t="shared" si="50"/>
        <v>0.002451146261277263</v>
      </c>
      <c r="BM38" s="59"/>
      <c r="BN38" s="59"/>
      <c r="BO38" s="113">
        <f t="shared" si="57"/>
        <v>0.35000000000000014</v>
      </c>
      <c r="BP38" s="107">
        <f t="shared" si="58"/>
        <v>35.620000000000005</v>
      </c>
      <c r="BQ38" s="108">
        <f t="shared" si="61"/>
        <v>44.809999999999995</v>
      </c>
      <c r="BR38" s="109">
        <f t="shared" si="62"/>
        <v>44.01999999999998</v>
      </c>
      <c r="BS38" s="60"/>
      <c r="BT38" s="60"/>
      <c r="BU38" s="60"/>
      <c r="BV38" s="60"/>
      <c r="BW38" s="59"/>
      <c r="BX38" s="88"/>
      <c r="BY38" s="88"/>
      <c r="BZ38" s="88"/>
      <c r="CA38" s="15"/>
      <c r="CB38" s="72"/>
      <c r="CC38" s="72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</row>
    <row r="39" spans="1:208" ht="12.75">
      <c r="A39" s="75"/>
      <c r="B39" s="131"/>
      <c r="C39" s="131"/>
      <c r="D39" s="131"/>
      <c r="E39" s="129"/>
      <c r="F39" s="129">
        <f t="shared" si="52"/>
        <v>34</v>
      </c>
      <c r="G39" s="129">
        <f t="shared" si="90"/>
        <v>0.578</v>
      </c>
      <c r="H39" s="133">
        <v>1</v>
      </c>
      <c r="I39" s="129">
        <f t="shared" si="0"/>
        <v>-12</v>
      </c>
      <c r="J39" s="129">
        <f t="shared" si="1"/>
        <v>35.178084</v>
      </c>
      <c r="K39" s="129">
        <f t="shared" si="39"/>
        <v>1.813191661132382</v>
      </c>
      <c r="L39" s="129">
        <f t="shared" si="2"/>
        <v>6.906595830566191</v>
      </c>
      <c r="M39" s="129">
        <f t="shared" si="40"/>
        <v>0.578</v>
      </c>
      <c r="N39" s="129">
        <f t="shared" si="3"/>
        <v>1.1351460817349817</v>
      </c>
      <c r="O39" s="129">
        <f t="shared" si="63"/>
        <v>0.3762813206180248</v>
      </c>
      <c r="P39" s="129">
        <f t="shared" si="5"/>
        <v>3.468</v>
      </c>
      <c r="Q39" s="129">
        <f t="shared" si="6"/>
        <v>0</v>
      </c>
      <c r="R39" s="15">
        <f t="shared" si="64"/>
        <v>0</v>
      </c>
      <c r="S39" s="110">
        <f t="shared" si="41"/>
        <v>3.8442813206180246</v>
      </c>
      <c r="T39" s="111">
        <f t="shared" si="53"/>
        <v>0.578</v>
      </c>
      <c r="U39" s="112">
        <f t="shared" si="42"/>
        <v>3.8442813206180246</v>
      </c>
      <c r="V39" s="15"/>
      <c r="W39" s="88">
        <f t="shared" si="43"/>
        <v>6.528000000000003</v>
      </c>
      <c r="X39" s="88">
        <f t="shared" si="44"/>
        <v>86.528</v>
      </c>
      <c r="Y39" s="56">
        <f t="shared" si="45"/>
        <v>0.0009389044816998648</v>
      </c>
      <c r="Z39" s="56">
        <f t="shared" si="65"/>
        <v>0.0009389044816998648</v>
      </c>
      <c r="AA39" s="15">
        <f t="shared" si="9"/>
        <v>1.0000510204081632</v>
      </c>
      <c r="AB39" s="15">
        <f t="shared" si="66"/>
        <v>-11.985727698635452</v>
      </c>
      <c r="AC39" s="15">
        <f t="shared" si="11"/>
        <v>35.998123072578224</v>
      </c>
      <c r="AD39" s="15">
        <f t="shared" si="46"/>
        <v>0</v>
      </c>
      <c r="AE39" s="15">
        <f t="shared" si="47"/>
        <v>5.992558106557188</v>
      </c>
      <c r="AF39" s="15">
        <f t="shared" si="67"/>
        <v>-0.04186508199370847</v>
      </c>
      <c r="AG39" s="15">
        <f t="shared" si="68"/>
        <v>1.5707963267948966</v>
      </c>
      <c r="AH39" s="56">
        <f t="shared" si="69"/>
        <v>-0.04191823837544284</v>
      </c>
      <c r="AI39" s="15">
        <f t="shared" si="70"/>
        <v>0.7853981633974483</v>
      </c>
      <c r="AJ39" s="15">
        <f t="shared" si="71"/>
        <v>0</v>
      </c>
      <c r="AK39" s="57">
        <f t="shared" si="72"/>
        <v>0</v>
      </c>
      <c r="AL39" s="57">
        <f t="shared" si="17"/>
        <v>0</v>
      </c>
      <c r="AM39" s="58">
        <f t="shared" si="18"/>
        <v>-237.86855337256287</v>
      </c>
      <c r="AN39" s="59">
        <f t="shared" si="19"/>
        <v>0</v>
      </c>
      <c r="AO39" s="60">
        <f t="shared" si="20"/>
        <v>-243.86855337256287</v>
      </c>
      <c r="AP39" s="59">
        <f t="shared" si="73"/>
        <v>0</v>
      </c>
      <c r="AQ39" s="59">
        <f t="shared" si="74"/>
        <v>0</v>
      </c>
      <c r="AR39" s="61">
        <f t="shared" si="75"/>
        <v>6.170791380292665E-05</v>
      </c>
      <c r="AS39" s="59">
        <f t="shared" si="76"/>
        <v>0</v>
      </c>
      <c r="AT39" s="60">
        <f t="shared" si="77"/>
        <v>-237.86855337256287</v>
      </c>
      <c r="AU39" s="59">
        <f t="shared" si="54"/>
        <v>0</v>
      </c>
      <c r="AV39" s="60">
        <f t="shared" si="78"/>
        <v>-237.86855337256287</v>
      </c>
      <c r="AW39" s="59">
        <f t="shared" si="79"/>
        <v>0</v>
      </c>
      <c r="AX39" s="59">
        <f t="shared" si="80"/>
        <v>0</v>
      </c>
      <c r="AY39" s="59">
        <f t="shared" si="81"/>
        <v>0</v>
      </c>
      <c r="AZ39" s="59">
        <f t="shared" si="82"/>
        <v>0</v>
      </c>
      <c r="BA39" s="59">
        <f t="shared" si="83"/>
        <v>0</v>
      </c>
      <c r="BB39" s="60" t="b">
        <f t="shared" si="84"/>
        <v>0</v>
      </c>
      <c r="BC39" s="60" t="b">
        <f t="shared" si="85"/>
        <v>0</v>
      </c>
      <c r="BD39" s="15" t="b">
        <f t="shared" si="86"/>
        <v>0</v>
      </c>
      <c r="BE39" s="15">
        <f t="shared" si="87"/>
        <v>-0.04186508199370847</v>
      </c>
      <c r="BF39" s="103">
        <f t="shared" si="88"/>
        <v>6.170791380292665E-05</v>
      </c>
      <c r="BG39" s="103">
        <f t="shared" si="49"/>
        <v>6.170791380292665E-05</v>
      </c>
      <c r="BH39" s="104">
        <f t="shared" si="55"/>
        <v>34</v>
      </c>
      <c r="BI39" s="105">
        <f t="shared" si="89"/>
        <v>6.170791380292665E-05</v>
      </c>
      <c r="BJ39" s="94">
        <v>2</v>
      </c>
      <c r="BK39" s="60">
        <f t="shared" si="56"/>
        <v>6.170791380292665E-05</v>
      </c>
      <c r="BL39" s="106">
        <f t="shared" si="50"/>
        <v>0.0001234158276058533</v>
      </c>
      <c r="BM39" s="59"/>
      <c r="BN39" s="59"/>
      <c r="BO39" s="113">
        <f>BO38+0.01</f>
        <v>0.36000000000000015</v>
      </c>
      <c r="BP39" s="107">
        <f t="shared" si="58"/>
        <v>36.58200000000001</v>
      </c>
      <c r="BQ39" s="108">
        <f t="shared" si="61"/>
        <v>46.06399999999999</v>
      </c>
      <c r="BR39" s="109">
        <f t="shared" si="62"/>
        <v>45.21599999999998</v>
      </c>
      <c r="BS39" s="60"/>
      <c r="BT39" s="60"/>
      <c r="BU39" s="60"/>
      <c r="BV39" s="60"/>
      <c r="BW39" s="59"/>
      <c r="BX39" s="88"/>
      <c r="BY39" s="88"/>
      <c r="BZ39" s="88"/>
      <c r="CA39" s="15"/>
      <c r="CB39" s="72"/>
      <c r="CC39" s="72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</row>
    <row r="40" spans="1:208" ht="12.75">
      <c r="A40" s="75"/>
      <c r="B40" s="131"/>
      <c r="C40" s="131"/>
      <c r="D40" s="131"/>
      <c r="E40" s="15"/>
      <c r="F40" s="15">
        <f t="shared" si="52"/>
        <v>35</v>
      </c>
      <c r="G40" s="15">
        <f t="shared" si="90"/>
        <v>0.595</v>
      </c>
      <c r="H40" s="88">
        <v>1</v>
      </c>
      <c r="I40" s="15">
        <f t="shared" si="0"/>
        <v>-12</v>
      </c>
      <c r="J40" s="15">
        <f t="shared" si="1"/>
        <v>35.164025</v>
      </c>
      <c r="K40" s="15">
        <f t="shared" si="39"/>
        <v>1.8286333694866204</v>
      </c>
      <c r="L40" s="15">
        <f t="shared" si="2"/>
        <v>6.91431668474331</v>
      </c>
      <c r="M40" s="15">
        <f t="shared" si="40"/>
        <v>0.595</v>
      </c>
      <c r="N40" s="15">
        <f t="shared" si="3"/>
        <v>1.1538174961752024</v>
      </c>
      <c r="O40" s="15">
        <f t="shared" si="63"/>
        <v>0.3917596194270807</v>
      </c>
      <c r="P40" s="15">
        <f t="shared" si="5"/>
        <v>3.57</v>
      </c>
      <c r="Q40" s="15">
        <f t="shared" si="6"/>
        <v>0</v>
      </c>
      <c r="R40" s="15">
        <f t="shared" si="64"/>
        <v>0</v>
      </c>
      <c r="S40" s="110">
        <f t="shared" si="41"/>
        <v>3.9617596194270805</v>
      </c>
      <c r="T40" s="111">
        <f t="shared" si="53"/>
        <v>0.595</v>
      </c>
      <c r="U40" s="112">
        <f t="shared" si="42"/>
        <v>3.9617596194270805</v>
      </c>
      <c r="V40" s="15"/>
      <c r="W40" s="88">
        <f t="shared" si="43"/>
        <v>6.720000000000003</v>
      </c>
      <c r="X40" s="88">
        <f t="shared" si="44"/>
        <v>86.72</v>
      </c>
      <c r="Y40" s="56">
        <f t="shared" si="45"/>
        <v>-0.0010857974025970663</v>
      </c>
      <c r="Z40" s="56">
        <f t="shared" si="65"/>
        <v>-0.0010857974025970663</v>
      </c>
      <c r="AA40" s="15">
        <f t="shared" si="9"/>
        <v>1.0000510204081632</v>
      </c>
      <c r="AB40" s="15">
        <f t="shared" si="66"/>
        <v>-11.98569877432282</v>
      </c>
      <c r="AC40" s="15">
        <f t="shared" si="11"/>
        <v>36.00217277376119</v>
      </c>
      <c r="AD40" s="15">
        <f t="shared" si="46"/>
        <v>0</v>
      </c>
      <c r="AE40" s="15">
        <f t="shared" si="47"/>
        <v>5.992543645138699</v>
      </c>
      <c r="AF40" s="15">
        <f t="shared" si="67"/>
        <v>-0.04388968058215905</v>
      </c>
      <c r="AG40" s="15">
        <f t="shared" si="68"/>
        <v>1.5707963267948966</v>
      </c>
      <c r="AH40" s="56">
        <f t="shared" si="69"/>
        <v>-0.04394294025973977</v>
      </c>
      <c r="AI40" s="15">
        <f t="shared" si="70"/>
        <v>0.7853981633974483</v>
      </c>
      <c r="AJ40" s="15">
        <f t="shared" si="71"/>
        <v>0</v>
      </c>
      <c r="AK40" s="57">
        <f t="shared" si="72"/>
        <v>0</v>
      </c>
      <c r="AL40" s="57">
        <f t="shared" si="17"/>
        <v>0</v>
      </c>
      <c r="AM40" s="58">
        <f t="shared" si="18"/>
        <v>-238.15201163636442</v>
      </c>
      <c r="AN40" s="59">
        <f t="shared" si="19"/>
        <v>0</v>
      </c>
      <c r="AO40" s="60">
        <f t="shared" si="20"/>
        <v>-244.15201163636442</v>
      </c>
      <c r="AP40" s="59">
        <f t="shared" si="73"/>
        <v>0</v>
      </c>
      <c r="AQ40" s="59">
        <f t="shared" si="74"/>
        <v>0</v>
      </c>
      <c r="AR40" s="61">
        <f t="shared" si="75"/>
        <v>0</v>
      </c>
      <c r="AS40" s="59">
        <f t="shared" si="76"/>
        <v>0</v>
      </c>
      <c r="AT40" s="60">
        <f t="shared" si="77"/>
        <v>-238.15201163636442</v>
      </c>
      <c r="AU40" s="59">
        <f t="shared" si="54"/>
        <v>0</v>
      </c>
      <c r="AV40" s="60">
        <f t="shared" si="78"/>
        <v>-238.15201163636442</v>
      </c>
      <c r="AW40" s="59">
        <f t="shared" si="79"/>
        <v>0</v>
      </c>
      <c r="AX40" s="59">
        <f t="shared" si="80"/>
        <v>0</v>
      </c>
      <c r="AY40" s="59">
        <f t="shared" si="81"/>
        <v>0</v>
      </c>
      <c r="AZ40" s="59">
        <f t="shared" si="82"/>
        <v>0</v>
      </c>
      <c r="BA40" s="59">
        <f t="shared" si="83"/>
        <v>0</v>
      </c>
      <c r="BB40" s="60" t="b">
        <f t="shared" si="84"/>
        <v>0</v>
      </c>
      <c r="BC40" s="60" t="b">
        <f t="shared" si="85"/>
        <v>0</v>
      </c>
      <c r="BD40" s="15" t="b">
        <f t="shared" si="86"/>
        <v>0</v>
      </c>
      <c r="BE40" s="15">
        <f t="shared" si="87"/>
        <v>-0.04388968058215905</v>
      </c>
      <c r="BF40" s="103">
        <f t="shared" si="88"/>
        <v>0</v>
      </c>
      <c r="BG40" s="103">
        <f t="shared" si="49"/>
        <v>0</v>
      </c>
      <c r="BH40" s="104">
        <f t="shared" si="55"/>
        <v>35</v>
      </c>
      <c r="BI40" s="105">
        <f t="shared" si="89"/>
        <v>0</v>
      </c>
      <c r="BJ40" s="94">
        <v>4</v>
      </c>
      <c r="BK40" s="60">
        <f t="shared" si="56"/>
        <v>0</v>
      </c>
      <c r="BL40" s="106">
        <f t="shared" si="50"/>
        <v>0</v>
      </c>
      <c r="BM40" s="59"/>
      <c r="BN40" s="59"/>
      <c r="BO40" s="113">
        <f t="shared" si="57"/>
        <v>0.37000000000000016</v>
      </c>
      <c r="BP40" s="107">
        <f t="shared" si="58"/>
        <v>37.54400000000001</v>
      </c>
      <c r="BQ40" s="108">
        <f t="shared" si="61"/>
        <v>47.31799999999999</v>
      </c>
      <c r="BR40" s="109">
        <f t="shared" si="62"/>
        <v>46.41199999999998</v>
      </c>
      <c r="BS40" s="60"/>
      <c r="BT40" s="60"/>
      <c r="BU40" s="60"/>
      <c r="BV40" s="60"/>
      <c r="BW40" s="59"/>
      <c r="BX40" s="88"/>
      <c r="BY40" s="88"/>
      <c r="BZ40" s="88"/>
      <c r="CA40" s="15"/>
      <c r="CB40" s="72"/>
      <c r="CC40" s="72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</row>
    <row r="41" spans="1:208" ht="12.75">
      <c r="A41" s="75"/>
      <c r="B41" s="131"/>
      <c r="C41" s="131"/>
      <c r="D41" s="131"/>
      <c r="E41" s="15"/>
      <c r="F41" s="15">
        <f t="shared" si="52"/>
        <v>36</v>
      </c>
      <c r="G41" s="15">
        <f t="shared" si="90"/>
        <v>0.612</v>
      </c>
      <c r="H41" s="88">
        <v>1</v>
      </c>
      <c r="I41" s="15">
        <f t="shared" si="0"/>
        <v>-12</v>
      </c>
      <c r="J41" s="15">
        <f t="shared" si="1"/>
        <v>35.150544000000004</v>
      </c>
      <c r="K41" s="15">
        <f t="shared" si="39"/>
        <v>1.843318746174949</v>
      </c>
      <c r="L41" s="15">
        <f t="shared" si="2"/>
        <v>6.921659373087475</v>
      </c>
      <c r="M41" s="15">
        <f t="shared" si="40"/>
        <v>0.612</v>
      </c>
      <c r="N41" s="15">
        <f t="shared" si="3"/>
        <v>1.1723357269707317</v>
      </c>
      <c r="O41" s="15">
        <f t="shared" si="63"/>
        <v>0.4073659451063955</v>
      </c>
      <c r="P41" s="15">
        <f t="shared" si="5"/>
        <v>3.6719999999999997</v>
      </c>
      <c r="Q41" s="15">
        <f t="shared" si="6"/>
        <v>0</v>
      </c>
      <c r="R41" s="15">
        <f t="shared" si="64"/>
        <v>0</v>
      </c>
      <c r="S41" s="110">
        <f t="shared" si="41"/>
        <v>4.079365945106395</v>
      </c>
      <c r="T41" s="111">
        <f t="shared" si="53"/>
        <v>0.612</v>
      </c>
      <c r="U41" s="112">
        <f t="shared" si="42"/>
        <v>4.079365945106395</v>
      </c>
      <c r="V41" s="15"/>
      <c r="W41" s="88">
        <f t="shared" si="43"/>
        <v>6.9120000000000035</v>
      </c>
      <c r="X41" s="88">
        <f t="shared" si="44"/>
        <v>86.912</v>
      </c>
      <c r="Y41" s="56">
        <f t="shared" si="45"/>
        <v>-0.0031153738654072782</v>
      </c>
      <c r="Z41" s="56">
        <f t="shared" si="65"/>
        <v>-0.0031153738654072782</v>
      </c>
      <c r="AA41" s="15">
        <f t="shared" si="9"/>
        <v>1.0000510204081632</v>
      </c>
      <c r="AB41" s="15">
        <f t="shared" si="66"/>
        <v>-11.985669780373351</v>
      </c>
      <c r="AC41" s="15">
        <f t="shared" si="11"/>
        <v>36.00624045328513</v>
      </c>
      <c r="AD41" s="15">
        <f t="shared" si="46"/>
        <v>0</v>
      </c>
      <c r="AE41" s="15">
        <f t="shared" si="47"/>
        <v>5.992529148903569</v>
      </c>
      <c r="AF41" s="15">
        <f t="shared" si="67"/>
        <v>-0.045919153500432616</v>
      </c>
      <c r="AG41" s="15">
        <f t="shared" si="68"/>
        <v>1.5707963267948966</v>
      </c>
      <c r="AH41" s="56">
        <f t="shared" si="69"/>
        <v>-0.04597251672254998</v>
      </c>
      <c r="AI41" s="15">
        <f t="shared" si="70"/>
        <v>0.7853981633974483</v>
      </c>
      <c r="AJ41" s="15">
        <f t="shared" si="71"/>
        <v>0</v>
      </c>
      <c r="AK41" s="57">
        <f t="shared" si="72"/>
        <v>0</v>
      </c>
      <c r="AL41" s="57">
        <f t="shared" si="17"/>
        <v>0</v>
      </c>
      <c r="AM41" s="58">
        <f t="shared" si="18"/>
        <v>-238.43615234115785</v>
      </c>
      <c r="AN41" s="59">
        <f t="shared" si="19"/>
        <v>0</v>
      </c>
      <c r="AO41" s="60">
        <f t="shared" si="20"/>
        <v>-244.43615234115785</v>
      </c>
      <c r="AP41" s="59">
        <f t="shared" si="73"/>
        <v>0</v>
      </c>
      <c r="AQ41" s="59">
        <f t="shared" si="74"/>
        <v>0</v>
      </c>
      <c r="AR41" s="61">
        <f t="shared" si="75"/>
        <v>0</v>
      </c>
      <c r="AS41" s="59">
        <f t="shared" si="76"/>
        <v>0</v>
      </c>
      <c r="AT41" s="60">
        <f t="shared" si="77"/>
        <v>-238.43615234115785</v>
      </c>
      <c r="AU41" s="59">
        <f t="shared" si="54"/>
        <v>0</v>
      </c>
      <c r="AV41" s="60">
        <f t="shared" si="78"/>
        <v>-238.43615234115785</v>
      </c>
      <c r="AW41" s="59">
        <f t="shared" si="79"/>
        <v>0</v>
      </c>
      <c r="AX41" s="59">
        <f t="shared" si="80"/>
        <v>0</v>
      </c>
      <c r="AY41" s="59">
        <f t="shared" si="81"/>
        <v>0</v>
      </c>
      <c r="AZ41" s="59">
        <f t="shared" si="82"/>
        <v>0</v>
      </c>
      <c r="BA41" s="59">
        <f t="shared" si="83"/>
        <v>0</v>
      </c>
      <c r="BB41" s="60" t="b">
        <f t="shared" si="84"/>
        <v>0</v>
      </c>
      <c r="BC41" s="60" t="b">
        <f t="shared" si="85"/>
        <v>0</v>
      </c>
      <c r="BD41" s="15" t="b">
        <f t="shared" si="86"/>
        <v>0</v>
      </c>
      <c r="BE41" s="15">
        <f t="shared" si="87"/>
        <v>-0.045919153500432616</v>
      </c>
      <c r="BF41" s="103">
        <f t="shared" si="88"/>
        <v>0</v>
      </c>
      <c r="BG41" s="103">
        <f t="shared" si="49"/>
        <v>0</v>
      </c>
      <c r="BH41" s="104">
        <f t="shared" si="55"/>
        <v>36</v>
      </c>
      <c r="BI41" s="105">
        <f t="shared" si="89"/>
        <v>0</v>
      </c>
      <c r="BJ41" s="94">
        <v>2</v>
      </c>
      <c r="BK41" s="60">
        <f t="shared" si="56"/>
        <v>0</v>
      </c>
      <c r="BL41" s="106">
        <f t="shared" si="50"/>
        <v>0</v>
      </c>
      <c r="BM41" s="59"/>
      <c r="BN41" s="59"/>
      <c r="BO41" s="113">
        <f t="shared" si="57"/>
        <v>0.38000000000000017</v>
      </c>
      <c r="BP41" s="107">
        <f t="shared" si="58"/>
        <v>38.506000000000014</v>
      </c>
      <c r="BQ41" s="108">
        <f t="shared" si="61"/>
        <v>48.57199999999999</v>
      </c>
      <c r="BR41" s="109">
        <f t="shared" si="62"/>
        <v>47.607999999999976</v>
      </c>
      <c r="BS41" s="60"/>
      <c r="BT41" s="60"/>
      <c r="BU41" s="60"/>
      <c r="BV41" s="60"/>
      <c r="BW41" s="59"/>
      <c r="BX41" s="88"/>
      <c r="BY41" s="88"/>
      <c r="BZ41" s="88"/>
      <c r="CA41" s="15"/>
      <c r="CB41" s="72"/>
      <c r="CC41" s="72"/>
      <c r="CD41" s="15"/>
      <c r="CE41" s="15"/>
      <c r="CF41" s="15" t="s">
        <v>46</v>
      </c>
      <c r="CG41" s="15">
        <f>(G6-G5)</f>
        <v>0.017</v>
      </c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</row>
    <row r="42" spans="1:208" ht="12.75">
      <c r="A42" s="75"/>
      <c r="B42" s="131"/>
      <c r="C42" s="131">
        <f>-Tr</f>
        <v>-6.2</v>
      </c>
      <c r="D42" s="131"/>
      <c r="E42" s="15"/>
      <c r="F42" s="15">
        <f t="shared" si="52"/>
        <v>37</v>
      </c>
      <c r="G42" s="15">
        <f t="shared" si="90"/>
        <v>0.629</v>
      </c>
      <c r="H42" s="88">
        <v>1</v>
      </c>
      <c r="I42" s="15">
        <f t="shared" si="0"/>
        <v>-12</v>
      </c>
      <c r="J42" s="15">
        <f t="shared" si="1"/>
        <v>35.137640999999995</v>
      </c>
      <c r="K42" s="15">
        <f t="shared" si="39"/>
        <v>1.8572657321988202</v>
      </c>
      <c r="L42" s="15">
        <f t="shared" si="2"/>
        <v>6.92863286609941</v>
      </c>
      <c r="M42" s="15">
        <f t="shared" si="40"/>
        <v>0.629</v>
      </c>
      <c r="N42" s="15">
        <f t="shared" si="3"/>
        <v>1.1907106856018221</v>
      </c>
      <c r="O42" s="15">
        <f t="shared" si="63"/>
        <v>0.4230939461394711</v>
      </c>
      <c r="P42" s="15">
        <f t="shared" si="5"/>
        <v>3.774</v>
      </c>
      <c r="Q42" s="15">
        <f t="shared" si="6"/>
        <v>0</v>
      </c>
      <c r="R42" s="15">
        <f t="shared" si="64"/>
        <v>0</v>
      </c>
      <c r="S42" s="110">
        <f t="shared" si="41"/>
        <v>4.197093946139471</v>
      </c>
      <c r="T42" s="111">
        <f t="shared" si="53"/>
        <v>0.629</v>
      </c>
      <c r="U42" s="112">
        <f t="shared" si="42"/>
        <v>4.197093946139471</v>
      </c>
      <c r="V42" s="15"/>
      <c r="W42" s="88">
        <f t="shared" si="43"/>
        <v>7.104000000000004</v>
      </c>
      <c r="X42" s="88">
        <f t="shared" si="44"/>
        <v>87.104</v>
      </c>
      <c r="Y42" s="56">
        <f t="shared" si="45"/>
        <v>-0.005149824906729883</v>
      </c>
      <c r="Z42" s="56">
        <f t="shared" si="65"/>
        <v>-0.005149824906729883</v>
      </c>
      <c r="AA42" s="15">
        <f t="shared" si="9"/>
        <v>1.0000510204081632</v>
      </c>
      <c r="AB42" s="15">
        <f t="shared" si="66"/>
        <v>-11.985640716787048</v>
      </c>
      <c r="AC42" s="15">
        <f t="shared" si="11"/>
        <v>36.010326170510034</v>
      </c>
      <c r="AD42" s="15">
        <f t="shared" si="46"/>
        <v>0</v>
      </c>
      <c r="AE42" s="15">
        <f t="shared" si="47"/>
        <v>5.992514617851797</v>
      </c>
      <c r="AF42" s="15">
        <f t="shared" si="67"/>
        <v>-0.047953500748528284</v>
      </c>
      <c r="AG42" s="15">
        <f t="shared" si="68"/>
        <v>1.5707963267948966</v>
      </c>
      <c r="AH42" s="56">
        <f t="shared" si="69"/>
        <v>-0.04800696776387259</v>
      </c>
      <c r="AI42" s="15">
        <f t="shared" si="70"/>
        <v>0.7853981633974483</v>
      </c>
      <c r="AJ42" s="15">
        <f t="shared" si="71"/>
        <v>0</v>
      </c>
      <c r="AK42" s="57">
        <f t="shared" si="72"/>
        <v>0</v>
      </c>
      <c r="AL42" s="57">
        <f t="shared" si="17"/>
        <v>0</v>
      </c>
      <c r="AM42" s="58">
        <f t="shared" si="18"/>
        <v>-238.72097548694302</v>
      </c>
      <c r="AN42" s="59">
        <f t="shared" si="19"/>
        <v>0</v>
      </c>
      <c r="AO42" s="60">
        <f t="shared" si="20"/>
        <v>-244.72097548694302</v>
      </c>
      <c r="AP42" s="59">
        <f t="shared" si="73"/>
        <v>0</v>
      </c>
      <c r="AQ42" s="59">
        <f t="shared" si="74"/>
        <v>0</v>
      </c>
      <c r="AR42" s="61">
        <f t="shared" si="75"/>
        <v>0</v>
      </c>
      <c r="AS42" s="59">
        <f t="shared" si="76"/>
        <v>0</v>
      </c>
      <c r="AT42" s="60">
        <f t="shared" si="77"/>
        <v>-238.72097548694302</v>
      </c>
      <c r="AU42" s="59">
        <f t="shared" si="54"/>
        <v>0</v>
      </c>
      <c r="AV42" s="60">
        <f t="shared" si="78"/>
        <v>-238.72097548694302</v>
      </c>
      <c r="AW42" s="59">
        <f t="shared" si="79"/>
        <v>0</v>
      </c>
      <c r="AX42" s="59">
        <f t="shared" si="80"/>
        <v>0</v>
      </c>
      <c r="AY42" s="59">
        <f t="shared" si="81"/>
        <v>0</v>
      </c>
      <c r="AZ42" s="59">
        <f t="shared" si="82"/>
        <v>0</v>
      </c>
      <c r="BA42" s="59">
        <f t="shared" si="83"/>
        <v>0</v>
      </c>
      <c r="BB42" s="60" t="b">
        <f t="shared" si="84"/>
        <v>0</v>
      </c>
      <c r="BC42" s="60" t="b">
        <f t="shared" si="85"/>
        <v>0</v>
      </c>
      <c r="BD42" s="15" t="b">
        <f t="shared" si="86"/>
        <v>0</v>
      </c>
      <c r="BE42" s="15">
        <f t="shared" si="87"/>
        <v>-0.047953500748528284</v>
      </c>
      <c r="BF42" s="103">
        <f t="shared" si="88"/>
        <v>0</v>
      </c>
      <c r="BG42" s="103">
        <f t="shared" si="49"/>
        <v>0</v>
      </c>
      <c r="BH42" s="104">
        <f t="shared" si="55"/>
        <v>37</v>
      </c>
      <c r="BI42" s="105">
        <f t="shared" si="89"/>
        <v>0</v>
      </c>
      <c r="BJ42" s="94">
        <v>4</v>
      </c>
      <c r="BK42" s="60">
        <f t="shared" si="56"/>
        <v>0</v>
      </c>
      <c r="BL42" s="106">
        <f t="shared" si="50"/>
        <v>0</v>
      </c>
      <c r="BM42" s="59"/>
      <c r="BN42" s="59"/>
      <c r="BO42" s="113">
        <f t="shared" si="57"/>
        <v>0.3900000000000002</v>
      </c>
      <c r="BP42" s="107">
        <f t="shared" si="58"/>
        <v>39.46800000000002</v>
      </c>
      <c r="BQ42" s="108">
        <f t="shared" si="61"/>
        <v>49.825999999999986</v>
      </c>
      <c r="BR42" s="109">
        <f t="shared" si="62"/>
        <v>48.803999999999974</v>
      </c>
      <c r="BS42" s="60"/>
      <c r="BT42" s="60"/>
      <c r="BU42" s="60"/>
      <c r="BV42" s="60"/>
      <c r="BW42" s="59"/>
      <c r="BX42" s="88"/>
      <c r="BY42" s="88"/>
      <c r="BZ42" s="88"/>
      <c r="CA42" s="15"/>
      <c r="CB42" s="72"/>
      <c r="CC42" s="72"/>
      <c r="CD42" s="15"/>
      <c r="CE42" s="15"/>
      <c r="CF42" s="15"/>
      <c r="CG42" s="15"/>
      <c r="CH42" s="15"/>
      <c r="CI42" s="15"/>
      <c r="CJ42" s="15"/>
      <c r="CK42" s="52">
        <f>CJ48</f>
        <v>0.034</v>
      </c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</row>
    <row r="43" spans="1:208" ht="12.75">
      <c r="A43" s="75"/>
      <c r="B43" s="131" t="s">
        <v>80</v>
      </c>
      <c r="C43" s="131">
        <f>A*0^2+BB*0+C</f>
        <v>-6.2</v>
      </c>
      <c r="D43" s="75"/>
      <c r="E43" s="15"/>
      <c r="F43" s="15">
        <f t="shared" si="52"/>
        <v>38</v>
      </c>
      <c r="G43" s="15">
        <f t="shared" si="90"/>
        <v>0.6459999999999999</v>
      </c>
      <c r="H43" s="88">
        <v>1</v>
      </c>
      <c r="I43" s="15">
        <f t="shared" si="0"/>
        <v>-12</v>
      </c>
      <c r="J43" s="15">
        <f t="shared" si="1"/>
        <v>35.125316</v>
      </c>
      <c r="K43" s="15">
        <f>IF((I43^2-4*H43*J43)&gt;=0,(I43^2-4*H43*J43)^0.5,0)</f>
        <v>1.8704908446715285</v>
      </c>
      <c r="L43" s="15">
        <f t="shared" si="2"/>
        <v>6.935245422335765</v>
      </c>
      <c r="M43" s="15">
        <f t="shared" si="40"/>
        <v>0.6459999999999999</v>
      </c>
      <c r="N43" s="15">
        <f t="shared" si="3"/>
        <v>1.208951714244198</v>
      </c>
      <c r="O43" s="15">
        <f t="shared" si="63"/>
        <v>0.43893741736866887</v>
      </c>
      <c r="P43" s="15">
        <f t="shared" si="5"/>
        <v>3.8759999999999994</v>
      </c>
      <c r="Q43" s="15">
        <f t="shared" si="6"/>
        <v>0</v>
      </c>
      <c r="R43" s="15">
        <f t="shared" si="64"/>
        <v>0</v>
      </c>
      <c r="S43" s="110">
        <f t="shared" si="41"/>
        <v>4.314937417368668</v>
      </c>
      <c r="T43" s="111">
        <f t="shared" si="53"/>
        <v>0.646</v>
      </c>
      <c r="U43" s="112">
        <f t="shared" si="42"/>
        <v>4.314937417368668</v>
      </c>
      <c r="V43" s="15"/>
      <c r="W43" s="88">
        <f t="shared" si="43"/>
        <v>7.296000000000004</v>
      </c>
      <c r="X43" s="88">
        <f t="shared" si="44"/>
        <v>87.296</v>
      </c>
      <c r="Y43" s="56">
        <f t="shared" si="45"/>
        <v>-0.00718915052656488</v>
      </c>
      <c r="Z43" s="56">
        <f t="shared" si="65"/>
        <v>-0.00718915052656488</v>
      </c>
      <c r="AA43" s="15">
        <f t="shared" si="9"/>
        <v>1.0000510204081632</v>
      </c>
      <c r="AB43" s="15">
        <f t="shared" si="66"/>
        <v>-11.985611583563907</v>
      </c>
      <c r="AC43" s="15">
        <f t="shared" si="11"/>
        <v>36.014429984938424</v>
      </c>
      <c r="AD43" s="15">
        <f t="shared" si="46"/>
        <v>0</v>
      </c>
      <c r="AE43" s="15">
        <f t="shared" si="47"/>
        <v>5.9925000519833835</v>
      </c>
      <c r="AF43" s="15">
        <f t="shared" si="67"/>
        <v>-0.04999272232644604</v>
      </c>
      <c r="AG43" s="15">
        <f t="shared" si="68"/>
        <v>1.5707963267948966</v>
      </c>
      <c r="AH43" s="56">
        <f t="shared" si="69"/>
        <v>-0.050046293383707585</v>
      </c>
      <c r="AI43" s="15">
        <f t="shared" si="70"/>
        <v>0.7853981633974483</v>
      </c>
      <c r="AJ43" s="15">
        <f t="shared" si="71"/>
        <v>0</v>
      </c>
      <c r="AK43" s="57">
        <f t="shared" si="72"/>
        <v>0</v>
      </c>
      <c r="AL43" s="57">
        <f t="shared" si="17"/>
        <v>0</v>
      </c>
      <c r="AM43" s="58">
        <f t="shared" si="18"/>
        <v>-239.00648107371993</v>
      </c>
      <c r="AN43" s="59">
        <f t="shared" si="19"/>
        <v>0</v>
      </c>
      <c r="AO43" s="60">
        <f t="shared" si="20"/>
        <v>-245.00648107371993</v>
      </c>
      <c r="AP43" s="59">
        <f t="shared" si="73"/>
        <v>0</v>
      </c>
      <c r="AQ43" s="59">
        <f t="shared" si="74"/>
        <v>0</v>
      </c>
      <c r="AR43" s="61">
        <f t="shared" si="75"/>
        <v>0</v>
      </c>
      <c r="AS43" s="59">
        <f t="shared" si="76"/>
        <v>0</v>
      </c>
      <c r="AT43" s="60">
        <f t="shared" si="77"/>
        <v>-239.00648107371993</v>
      </c>
      <c r="AU43" s="59">
        <f t="shared" si="54"/>
        <v>0</v>
      </c>
      <c r="AV43" s="60">
        <f t="shared" si="78"/>
        <v>-239.00648107371993</v>
      </c>
      <c r="AW43" s="59">
        <f t="shared" si="79"/>
        <v>0</v>
      </c>
      <c r="AX43" s="59">
        <f t="shared" si="80"/>
        <v>0</v>
      </c>
      <c r="AY43" s="59">
        <f t="shared" si="81"/>
        <v>0</v>
      </c>
      <c r="AZ43" s="59">
        <f t="shared" si="82"/>
        <v>0</v>
      </c>
      <c r="BA43" s="59">
        <f t="shared" si="83"/>
        <v>0</v>
      </c>
      <c r="BB43" s="60" t="b">
        <f t="shared" si="84"/>
        <v>0</v>
      </c>
      <c r="BC43" s="60" t="b">
        <f t="shared" si="85"/>
        <v>0</v>
      </c>
      <c r="BD43" s="15" t="b">
        <f t="shared" si="86"/>
        <v>0</v>
      </c>
      <c r="BE43" s="15">
        <f t="shared" si="87"/>
        <v>-0.04999272232644604</v>
      </c>
      <c r="BF43" s="103">
        <f t="shared" si="88"/>
        <v>0</v>
      </c>
      <c r="BG43" s="103">
        <f t="shared" si="49"/>
        <v>0</v>
      </c>
      <c r="BH43" s="104">
        <f t="shared" si="55"/>
        <v>38</v>
      </c>
      <c r="BI43" s="105">
        <f t="shared" si="89"/>
        <v>0</v>
      </c>
      <c r="BJ43" s="94">
        <v>2</v>
      </c>
      <c r="BK43" s="60">
        <f t="shared" si="56"/>
        <v>0</v>
      </c>
      <c r="BL43" s="106">
        <f t="shared" si="50"/>
        <v>0</v>
      </c>
      <c r="BM43" s="15"/>
      <c r="BN43" s="15"/>
      <c r="BO43" s="113">
        <f t="shared" si="57"/>
        <v>0.4000000000000002</v>
      </c>
      <c r="BP43" s="107">
        <f t="shared" si="58"/>
        <v>40.43000000000002</v>
      </c>
      <c r="BQ43" s="108">
        <f t="shared" si="61"/>
        <v>51.079999999999984</v>
      </c>
      <c r="BR43" s="109">
        <f t="shared" si="62"/>
        <v>49.99999999999997</v>
      </c>
      <c r="BS43" s="60"/>
      <c r="BT43" s="60"/>
      <c r="BU43" s="60"/>
      <c r="BV43" s="60"/>
      <c r="BW43" s="59"/>
      <c r="BX43" s="88"/>
      <c r="BY43" s="88"/>
      <c r="BZ43" s="88"/>
      <c r="CA43" s="15"/>
      <c r="CB43" s="72"/>
      <c r="CC43" s="72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</row>
    <row r="44" spans="1:208" ht="12.75">
      <c r="A44" s="93"/>
      <c r="B44" s="116" t="s">
        <v>9</v>
      </c>
      <c r="C44" s="116">
        <f>C36-C43</f>
        <v>0.7000000000000002</v>
      </c>
      <c r="D44" s="93"/>
      <c r="E44" s="15"/>
      <c r="F44" s="15">
        <f t="shared" si="52"/>
        <v>39</v>
      </c>
      <c r="G44" s="15">
        <f t="shared" si="90"/>
        <v>0.6629999999999999</v>
      </c>
      <c r="H44" s="88">
        <v>1</v>
      </c>
      <c r="I44" s="15">
        <f t="shared" si="0"/>
        <v>-12</v>
      </c>
      <c r="J44" s="15">
        <f t="shared" si="1"/>
        <v>35.113569</v>
      </c>
      <c r="K44" s="15">
        <f t="shared" si="39"/>
        <v>1.8830092936573646</v>
      </c>
      <c r="L44" s="15">
        <f t="shared" si="2"/>
        <v>6.941504646828682</v>
      </c>
      <c r="M44" s="15">
        <f t="shared" si="40"/>
        <v>0.6629999999999999</v>
      </c>
      <c r="N44" s="15">
        <f t="shared" si="3"/>
        <v>1.2270676427797764</v>
      </c>
      <c r="O44" s="15">
        <f t="shared" si="63"/>
        <v>0.4548902883992554</v>
      </c>
      <c r="P44" s="15">
        <f t="shared" si="5"/>
        <v>3.9779999999999998</v>
      </c>
      <c r="Q44" s="15">
        <f t="shared" si="6"/>
        <v>0</v>
      </c>
      <c r="R44" s="15">
        <f t="shared" si="64"/>
        <v>0</v>
      </c>
      <c r="S44" s="110">
        <f t="shared" si="41"/>
        <v>4.432890288399255</v>
      </c>
      <c r="T44" s="111">
        <f t="shared" si="53"/>
        <v>0.663</v>
      </c>
      <c r="U44" s="112">
        <f t="shared" si="42"/>
        <v>4.432890288399255</v>
      </c>
      <c r="V44" s="15"/>
      <c r="W44" s="88">
        <f t="shared" si="43"/>
        <v>7.488000000000004</v>
      </c>
      <c r="X44" s="88">
        <f t="shared" si="44"/>
        <v>87.488</v>
      </c>
      <c r="Y44" s="56">
        <f t="shared" si="45"/>
        <v>-0.009233350724911382</v>
      </c>
      <c r="Z44" s="56">
        <f t="shared" si="65"/>
        <v>-0.009233350724911382</v>
      </c>
      <c r="AA44" s="15">
        <f t="shared" si="9"/>
        <v>1.0000510204081632</v>
      </c>
      <c r="AB44" s="15">
        <f t="shared" si="66"/>
        <v>-11.98558238070393</v>
      </c>
      <c r="AC44" s="15">
        <f t="shared" si="11"/>
        <v>36.01855195621543</v>
      </c>
      <c r="AD44" s="15">
        <f t="shared" si="46"/>
        <v>0</v>
      </c>
      <c r="AE44" s="15">
        <f t="shared" si="47"/>
        <v>5.992485451298328</v>
      </c>
      <c r="AF44" s="15">
        <f t="shared" si="67"/>
        <v>-0.052036818234185</v>
      </c>
      <c r="AG44" s="15">
        <f t="shared" si="68"/>
        <v>1.5707963267948966</v>
      </c>
      <c r="AH44" s="56">
        <f t="shared" si="69"/>
        <v>-0.05209049358205409</v>
      </c>
      <c r="AI44" s="15">
        <f t="shared" si="70"/>
        <v>0.7853981633974483</v>
      </c>
      <c r="AJ44" s="15">
        <f t="shared" si="71"/>
        <v>0</v>
      </c>
      <c r="AK44" s="57">
        <f t="shared" si="72"/>
        <v>0</v>
      </c>
      <c r="AL44" s="57">
        <f t="shared" si="17"/>
        <v>0</v>
      </c>
      <c r="AM44" s="58">
        <f t="shared" si="18"/>
        <v>-239.29266910148843</v>
      </c>
      <c r="AN44" s="59">
        <f t="shared" si="19"/>
        <v>0</v>
      </c>
      <c r="AO44" s="60">
        <f t="shared" si="20"/>
        <v>-245.29266910148843</v>
      </c>
      <c r="AP44" s="59">
        <f t="shared" si="73"/>
        <v>0</v>
      </c>
      <c r="AQ44" s="59">
        <f t="shared" si="74"/>
        <v>0</v>
      </c>
      <c r="AR44" s="61">
        <f t="shared" si="75"/>
        <v>0</v>
      </c>
      <c r="AS44" s="59">
        <f t="shared" si="76"/>
        <v>0</v>
      </c>
      <c r="AT44" s="60">
        <f t="shared" si="77"/>
        <v>-239.29266910148843</v>
      </c>
      <c r="AU44" s="59">
        <f t="shared" si="54"/>
        <v>0</v>
      </c>
      <c r="AV44" s="60">
        <f t="shared" si="78"/>
        <v>-239.29266910148843</v>
      </c>
      <c r="AW44" s="59">
        <f t="shared" si="79"/>
        <v>0</v>
      </c>
      <c r="AX44" s="59">
        <f t="shared" si="80"/>
        <v>0</v>
      </c>
      <c r="AY44" s="59">
        <f t="shared" si="81"/>
        <v>0</v>
      </c>
      <c r="AZ44" s="59">
        <f t="shared" si="82"/>
        <v>0</v>
      </c>
      <c r="BA44" s="59">
        <f t="shared" si="83"/>
        <v>0</v>
      </c>
      <c r="BB44" s="60" t="b">
        <f t="shared" si="84"/>
        <v>0</v>
      </c>
      <c r="BC44" s="60" t="b">
        <f t="shared" si="85"/>
        <v>0</v>
      </c>
      <c r="BD44" s="15" t="b">
        <f t="shared" si="86"/>
        <v>0</v>
      </c>
      <c r="BE44" s="15">
        <f t="shared" si="87"/>
        <v>-0.052036818234185</v>
      </c>
      <c r="BF44" s="103">
        <f t="shared" si="88"/>
        <v>0</v>
      </c>
      <c r="BG44" s="103">
        <f t="shared" si="49"/>
        <v>0</v>
      </c>
      <c r="BH44" s="104">
        <f t="shared" si="55"/>
        <v>39</v>
      </c>
      <c r="BI44" s="105">
        <f t="shared" si="89"/>
        <v>0</v>
      </c>
      <c r="BJ44" s="94">
        <v>4</v>
      </c>
      <c r="BK44" s="60">
        <f t="shared" si="56"/>
        <v>0</v>
      </c>
      <c r="BL44" s="106">
        <f t="shared" si="50"/>
        <v>0</v>
      </c>
      <c r="BM44" s="15"/>
      <c r="BN44" s="15"/>
      <c r="BO44" s="113">
        <f t="shared" si="57"/>
        <v>0.4100000000000002</v>
      </c>
      <c r="BP44" s="107">
        <f>BP43+BW$27</f>
        <v>41.39300000000002</v>
      </c>
      <c r="BQ44" s="108">
        <f>BQ43+BX$27</f>
        <v>52.35499999999998</v>
      </c>
      <c r="BR44" s="109">
        <f>BR43+BY$27</f>
        <v>51.196999999999974</v>
      </c>
      <c r="BS44" s="60"/>
      <c r="BT44" s="60"/>
      <c r="BU44" s="60"/>
      <c r="BV44" s="60"/>
      <c r="BW44" s="59"/>
      <c r="BX44" s="88"/>
      <c r="BY44" s="88"/>
      <c r="BZ44" s="88"/>
      <c r="CA44" s="15"/>
      <c r="CB44" s="72"/>
      <c r="CC44" s="72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</row>
    <row r="45" spans="1:208" ht="13.5" thickBot="1">
      <c r="A45" s="93"/>
      <c r="B45" s="93"/>
      <c r="C45" s="93"/>
      <c r="D45" s="93"/>
      <c r="E45" s="15"/>
      <c r="F45" s="15">
        <f t="shared" si="52"/>
        <v>40</v>
      </c>
      <c r="G45" s="15">
        <f t="shared" si="90"/>
        <v>0.68</v>
      </c>
      <c r="H45" s="88">
        <v>1</v>
      </c>
      <c r="I45" s="15">
        <f t="shared" si="0"/>
        <v>-12</v>
      </c>
      <c r="J45" s="15">
        <f t="shared" si="1"/>
        <v>35.1024</v>
      </c>
      <c r="K45" s="72">
        <f t="shared" si="39"/>
        <v>1.8948350851723188</v>
      </c>
      <c r="L45" s="72">
        <f t="shared" si="2"/>
        <v>6.94741754258616</v>
      </c>
      <c r="M45" s="15">
        <f t="shared" si="40"/>
        <v>0.68</v>
      </c>
      <c r="N45" s="15">
        <f t="shared" si="3"/>
        <v>1.2450668395002664</v>
      </c>
      <c r="O45" s="15">
        <f t="shared" si="63"/>
        <v>0.47094661293634754</v>
      </c>
      <c r="P45" s="15">
        <f t="shared" si="5"/>
        <v>4.08</v>
      </c>
      <c r="Q45" s="15">
        <f t="shared" si="6"/>
        <v>0</v>
      </c>
      <c r="R45" s="15">
        <f t="shared" si="64"/>
        <v>0</v>
      </c>
      <c r="S45" s="110">
        <f t="shared" si="41"/>
        <v>4.550946612936348</v>
      </c>
      <c r="T45" s="111">
        <f t="shared" si="53"/>
        <v>0.68</v>
      </c>
      <c r="U45" s="112">
        <f t="shared" si="42"/>
        <v>4.550946612936348</v>
      </c>
      <c r="V45" s="15"/>
      <c r="W45" s="88">
        <f t="shared" si="43"/>
        <v>7.680000000000004</v>
      </c>
      <c r="X45" s="88">
        <f t="shared" si="44"/>
        <v>87.68</v>
      </c>
      <c r="Y45" s="56">
        <f t="shared" si="45"/>
        <v>-0.011282425501771165</v>
      </c>
      <c r="Z45" s="56">
        <f t="shared" si="65"/>
        <v>-0.011282425501771165</v>
      </c>
      <c r="AA45" s="15">
        <f t="shared" si="9"/>
        <v>1.0000510204081632</v>
      </c>
      <c r="AB45" s="15">
        <f t="shared" si="66"/>
        <v>-11.985553108207117</v>
      </c>
      <c r="AC45" s="15">
        <f t="shared" si="11"/>
        <v>36.02269214412875</v>
      </c>
      <c r="AD45" s="15">
        <f t="shared" si="46"/>
        <v>0</v>
      </c>
      <c r="AE45" s="15">
        <f t="shared" si="47"/>
        <v>5.992470815796631</v>
      </c>
      <c r="AF45" s="15">
        <f t="shared" si="67"/>
        <v>-0.05408578847174695</v>
      </c>
      <c r="AG45" s="15">
        <f t="shared" si="68"/>
        <v>1.5707963267948966</v>
      </c>
      <c r="AH45" s="56">
        <f t="shared" si="69"/>
        <v>-0.05413956835891387</v>
      </c>
      <c r="AI45" s="15">
        <f t="shared" si="70"/>
        <v>0.7853981633974483</v>
      </c>
      <c r="AJ45" s="15">
        <f t="shared" si="71"/>
        <v>0</v>
      </c>
      <c r="AK45" s="57">
        <f t="shared" si="72"/>
        <v>0</v>
      </c>
      <c r="AL45" s="57">
        <f t="shared" si="17"/>
        <v>0</v>
      </c>
      <c r="AM45" s="58">
        <f t="shared" si="18"/>
        <v>-239.5795395702488</v>
      </c>
      <c r="AN45" s="59">
        <f t="shared" si="19"/>
        <v>0</v>
      </c>
      <c r="AO45" s="60">
        <f t="shared" si="20"/>
        <v>-245.5795395702488</v>
      </c>
      <c r="AP45" s="59">
        <f t="shared" si="73"/>
        <v>0</v>
      </c>
      <c r="AQ45" s="59">
        <f t="shared" si="74"/>
        <v>0</v>
      </c>
      <c r="AR45" s="61">
        <f t="shared" si="75"/>
        <v>0</v>
      </c>
      <c r="AS45" s="59">
        <f t="shared" si="76"/>
        <v>0</v>
      </c>
      <c r="AT45" s="60">
        <f t="shared" si="77"/>
        <v>-239.5795395702488</v>
      </c>
      <c r="AU45" s="59">
        <f t="shared" si="54"/>
        <v>0</v>
      </c>
      <c r="AV45" s="60">
        <f t="shared" si="78"/>
        <v>-239.5795395702488</v>
      </c>
      <c r="AW45" s="59">
        <f t="shared" si="79"/>
        <v>0</v>
      </c>
      <c r="AX45" s="59">
        <f t="shared" si="80"/>
        <v>0</v>
      </c>
      <c r="AY45" s="59">
        <f t="shared" si="81"/>
        <v>0</v>
      </c>
      <c r="AZ45" s="59">
        <f t="shared" si="82"/>
        <v>0</v>
      </c>
      <c r="BA45" s="59">
        <f t="shared" si="83"/>
        <v>0</v>
      </c>
      <c r="BB45" s="60" t="b">
        <f t="shared" si="84"/>
        <v>0</v>
      </c>
      <c r="BC45" s="60" t="b">
        <f t="shared" si="85"/>
        <v>0</v>
      </c>
      <c r="BD45" s="15" t="b">
        <f t="shared" si="86"/>
        <v>0</v>
      </c>
      <c r="BE45" s="15">
        <f t="shared" si="87"/>
        <v>-0.05408578847174695</v>
      </c>
      <c r="BF45" s="103">
        <f t="shared" si="88"/>
        <v>0</v>
      </c>
      <c r="BG45" s="103">
        <f t="shared" si="49"/>
        <v>0</v>
      </c>
      <c r="BH45" s="104">
        <f t="shared" si="55"/>
        <v>40</v>
      </c>
      <c r="BI45" s="105">
        <f t="shared" si="89"/>
        <v>0</v>
      </c>
      <c r="BJ45" s="94">
        <v>2</v>
      </c>
      <c r="BK45" s="60">
        <f t="shared" si="56"/>
        <v>0</v>
      </c>
      <c r="BL45" s="106">
        <f t="shared" si="50"/>
        <v>0</v>
      </c>
      <c r="BM45" s="15"/>
      <c r="BN45" s="15"/>
      <c r="BO45" s="113">
        <f t="shared" si="57"/>
        <v>0.4200000000000002</v>
      </c>
      <c r="BP45" s="107">
        <f aca="true" t="shared" si="91" ref="BP45:BP50">BP44+BW$27</f>
        <v>42.35600000000002</v>
      </c>
      <c r="BQ45" s="108">
        <f aca="true" t="shared" si="92" ref="BQ45:BQ50">BQ44+BX$27</f>
        <v>53.62999999999998</v>
      </c>
      <c r="BR45" s="109">
        <f aca="true" t="shared" si="93" ref="BR45:BR50">BR44+BY$27</f>
        <v>52.39399999999998</v>
      </c>
      <c r="BS45" s="60"/>
      <c r="BT45" s="60"/>
      <c r="BU45" s="60"/>
      <c r="BV45" s="60"/>
      <c r="BW45" s="59"/>
      <c r="BX45" s="88"/>
      <c r="BY45" s="88"/>
      <c r="BZ45" s="88"/>
      <c r="CA45" s="15"/>
      <c r="CB45" s="72"/>
      <c r="CC45" s="72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</row>
    <row r="46" spans="1:208" ht="12.75">
      <c r="A46" s="15"/>
      <c r="B46" s="15"/>
      <c r="C46" s="116">
        <f>((C36+C43)/2-($C$20*(Lpp/2)^2+$C$21*Lpp/2+$C$22))</f>
        <v>0.20000000000000018</v>
      </c>
      <c r="D46" s="15"/>
      <c r="E46" s="15"/>
      <c r="F46" s="15">
        <f t="shared" si="52"/>
        <v>41</v>
      </c>
      <c r="G46" s="15">
        <f t="shared" si="90"/>
        <v>0.6970000000000001</v>
      </c>
      <c r="H46" s="88">
        <v>1</v>
      </c>
      <c r="I46" s="15">
        <f t="shared" si="0"/>
        <v>-12</v>
      </c>
      <c r="J46" s="15">
        <f t="shared" si="1"/>
        <v>35.091809000000005</v>
      </c>
      <c r="K46" s="15">
        <f>IF((I46^2-4*H46*J46)&gt;=0,(I46^2-4*H46*J46)^0.5,0)</f>
        <v>1.905981112183429</v>
      </c>
      <c r="L46" s="15">
        <f aca="true" t="shared" si="94" ref="L46:L77">IF(G46&gt;=R,(bz+R),(-I46+K46)/(2*H46))</f>
        <v>6.952990556091715</v>
      </c>
      <c r="M46" s="15">
        <f>G46</f>
        <v>0.6970000000000001</v>
      </c>
      <c r="N46" s="15">
        <f t="shared" si="3"/>
        <v>1.2629572563861287</v>
      </c>
      <c r="O46" s="15">
        <f t="shared" si="63"/>
        <v>0.4871005589451693</v>
      </c>
      <c r="P46" s="15">
        <f aca="true" t="shared" si="95" ref="P46:P77">IF(G46&lt;=h,bz*G46,bz*h)</f>
        <v>4.182</v>
      </c>
      <c r="Q46" s="15">
        <f aca="true" t="shared" si="96" ref="Q46:Q77">IF(AND(G46&gt;h,G46&lt;=R,beta&gt;0),(G46-h)^2/2/TAN(beta),IF(G46&gt;R,tru,0))</f>
        <v>0</v>
      </c>
      <c r="R46" s="15">
        <f t="shared" si="64"/>
        <v>0</v>
      </c>
      <c r="S46" s="110">
        <f aca="true" t="shared" si="97" ref="S46:S105">O46+P46-Q46+R46</f>
        <v>4.6691005589451695</v>
      </c>
      <c r="T46" s="111">
        <f t="shared" si="53"/>
        <v>0.697</v>
      </c>
      <c r="U46" s="112">
        <f aca="true" t="shared" si="98" ref="U46:U105">S46</f>
        <v>4.6691005589451695</v>
      </c>
      <c r="V46" s="15"/>
      <c r="W46" s="88">
        <f t="shared" si="43"/>
        <v>7.872000000000004</v>
      </c>
      <c r="X46" s="88">
        <f t="shared" si="44"/>
        <v>87.872</v>
      </c>
      <c r="Y46" s="56">
        <f t="shared" si="45"/>
        <v>-0.01333637485714334</v>
      </c>
      <c r="Z46" s="56">
        <f t="shared" si="65"/>
        <v>-0.01333637485714334</v>
      </c>
      <c r="AA46" s="15">
        <f t="shared" si="9"/>
        <v>1.0000510204081632</v>
      </c>
      <c r="AB46" s="15">
        <f t="shared" si="66"/>
        <v>-11.98552376607347</v>
      </c>
      <c r="AC46" s="15">
        <f aca="true" t="shared" si="99" ref="AC46:AC105">Y46^2+bz^2-2*R*Y46</f>
        <v>36.02685060860862</v>
      </c>
      <c r="AD46" s="15">
        <f aca="true" t="shared" si="100" ref="AD46:AD105">IF((AB46^2-4*AA46*AC46)&gt;0,(AB46^2-4*AA46*AC46)^0.5,0)</f>
        <v>0</v>
      </c>
      <c r="AE46" s="15">
        <f aca="true" t="shared" si="101" ref="AE46:AE105">(-AB46+AD46)/(2*AA46)</f>
        <v>5.992456145478293</v>
      </c>
      <c r="AF46" s="15">
        <f t="shared" si="67"/>
        <v>-0.056139633039131</v>
      </c>
      <c r="AG46" s="15">
        <f t="shared" si="68"/>
        <v>1.5707963267948966</v>
      </c>
      <c r="AH46" s="56">
        <f t="shared" si="69"/>
        <v>-0.056193517714286045</v>
      </c>
      <c r="AI46" s="15">
        <f t="shared" si="70"/>
        <v>0.7853981633974483</v>
      </c>
      <c r="AJ46" s="15">
        <f t="shared" si="71"/>
        <v>0</v>
      </c>
      <c r="AK46" s="57">
        <f t="shared" si="72"/>
        <v>0</v>
      </c>
      <c r="AL46" s="57">
        <f aca="true" t="shared" si="102" ref="AL46:AL80">IF(AND(h&lt;=Y46,AH46&gt;=h),h*bz,0)</f>
        <v>0</v>
      </c>
      <c r="AM46" s="58">
        <f aca="true" t="shared" si="103" ref="AM46:AM80">(h-Y46)/DT</f>
        <v>-239.8670924800009</v>
      </c>
      <c r="AN46" s="59">
        <f aca="true" t="shared" si="104" ref="AN46:AN80">IF(AND(Y46&gt;0,Y46&lt;h,AH46&gt;=h),bz*h-(h-Y46)*AM46/2,0)</f>
        <v>0</v>
      </c>
      <c r="AO46" s="60">
        <f aca="true" t="shared" si="105" ref="AO46:AO80">(h-AH46)/DT</f>
        <v>-245.8670924800009</v>
      </c>
      <c r="AP46" s="59">
        <f t="shared" si="73"/>
        <v>0</v>
      </c>
      <c r="AQ46" s="59">
        <f t="shared" si="74"/>
        <v>0</v>
      </c>
      <c r="AR46" s="61">
        <f t="shared" si="75"/>
        <v>0</v>
      </c>
      <c r="AS46" s="59">
        <f t="shared" si="76"/>
        <v>0</v>
      </c>
      <c r="AT46" s="60">
        <f t="shared" si="77"/>
        <v>-239.8670924800009</v>
      </c>
      <c r="AU46" s="59">
        <f t="shared" si="54"/>
        <v>0</v>
      </c>
      <c r="AV46" s="60">
        <f t="shared" si="78"/>
        <v>-239.8670924800009</v>
      </c>
      <c r="AW46" s="59">
        <f t="shared" si="79"/>
        <v>0</v>
      </c>
      <c r="AX46" s="59">
        <f t="shared" si="80"/>
        <v>0</v>
      </c>
      <c r="AY46" s="59">
        <f t="shared" si="81"/>
        <v>0</v>
      </c>
      <c r="AZ46" s="59">
        <f t="shared" si="82"/>
        <v>0</v>
      </c>
      <c r="BA46" s="59">
        <f t="shared" si="83"/>
        <v>0</v>
      </c>
      <c r="BB46" s="60" t="b">
        <f t="shared" si="84"/>
        <v>0</v>
      </c>
      <c r="BC46" s="60" t="b">
        <f t="shared" si="85"/>
        <v>0</v>
      </c>
      <c r="BD46" s="15" t="b">
        <f t="shared" si="86"/>
        <v>0</v>
      </c>
      <c r="BE46" s="15">
        <f t="shared" si="87"/>
        <v>-0.056139633039131</v>
      </c>
      <c r="BF46" s="103">
        <f t="shared" si="88"/>
        <v>0</v>
      </c>
      <c r="BG46" s="103">
        <f t="shared" si="49"/>
        <v>0</v>
      </c>
      <c r="BH46" s="104">
        <f t="shared" si="55"/>
        <v>41</v>
      </c>
      <c r="BI46" s="105">
        <f t="shared" si="89"/>
        <v>0</v>
      </c>
      <c r="BJ46" s="94">
        <v>4</v>
      </c>
      <c r="BK46" s="60">
        <f t="shared" si="56"/>
        <v>0</v>
      </c>
      <c r="BL46" s="106">
        <f t="shared" si="50"/>
        <v>0</v>
      </c>
      <c r="BM46" s="15"/>
      <c r="BN46" s="15"/>
      <c r="BO46" s="113">
        <f t="shared" si="57"/>
        <v>0.4300000000000002</v>
      </c>
      <c r="BP46" s="107">
        <f t="shared" si="91"/>
        <v>43.319000000000024</v>
      </c>
      <c r="BQ46" s="108">
        <f t="shared" si="92"/>
        <v>54.90499999999998</v>
      </c>
      <c r="BR46" s="109">
        <f t="shared" si="93"/>
        <v>53.59099999999998</v>
      </c>
      <c r="BS46" s="93"/>
      <c r="BT46" s="93"/>
      <c r="BU46" s="93"/>
      <c r="BV46" s="93"/>
      <c r="BW46" s="58"/>
      <c r="BX46" s="15"/>
      <c r="BY46" s="15"/>
      <c r="BZ46" s="15"/>
      <c r="CA46" s="15"/>
      <c r="CB46" s="72"/>
      <c r="CC46" s="15"/>
      <c r="CD46" s="15"/>
      <c r="CE46" s="15"/>
      <c r="CF46" s="15">
        <f>VLOOKUP(CB47,PLANE,2)</f>
        <v>0</v>
      </c>
      <c r="CG46" s="15">
        <f>VLOOKUP(CF46,Draft,2)</f>
        <v>0</v>
      </c>
      <c r="CH46" s="15"/>
      <c r="CI46" s="62"/>
      <c r="CJ46" s="63">
        <f>VLOOKUP(CB47,PLANE,2)</f>
        <v>0</v>
      </c>
      <c r="CK46" s="64">
        <f>VLOOKUP(CJ46,Draft,2)</f>
        <v>0</v>
      </c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</row>
    <row r="47" spans="1:208" ht="12.75">
      <c r="A47" s="15"/>
      <c r="B47" s="15"/>
      <c r="C47" s="79" t="s">
        <v>76</v>
      </c>
      <c r="D47" s="15"/>
      <c r="E47" s="15"/>
      <c r="F47" s="15">
        <f t="shared" si="52"/>
        <v>42</v>
      </c>
      <c r="G47" s="15">
        <f t="shared" si="90"/>
        <v>0.714</v>
      </c>
      <c r="H47" s="88">
        <v>1</v>
      </c>
      <c r="I47" s="15">
        <f t="shared" si="0"/>
        <v>-12</v>
      </c>
      <c r="J47" s="15">
        <f aca="true" t="shared" si="106" ref="J47:J105">G47^2+bz^2-2*R*G47</f>
        <v>35.081796000000004</v>
      </c>
      <c r="K47" s="15">
        <f aca="true" t="shared" si="107" ref="K47:K105">IF((I47^2-4*H47*J47)&gt;=0,(I47^2-4*H47*J47)^0.5,0)</f>
        <v>1.916459235152155</v>
      </c>
      <c r="L47" s="15">
        <f t="shared" si="94"/>
        <v>6.958229617576078</v>
      </c>
      <c r="M47" s="15">
        <f aca="true" t="shared" si="108" ref="M47:M105">G47</f>
        <v>0.714</v>
      </c>
      <c r="N47" s="15">
        <f aca="true" t="shared" si="109" ref="N47:N105">IF(R&gt;0,ACOS((R-G47)/R),0)</f>
        <v>1.28074646970548</v>
      </c>
      <c r="O47" s="15">
        <f t="shared" si="63"/>
        <v>0.5033463995393607</v>
      </c>
      <c r="P47" s="15">
        <f t="shared" si="95"/>
        <v>4.284</v>
      </c>
      <c r="Q47" s="15">
        <f t="shared" si="96"/>
        <v>0</v>
      </c>
      <c r="R47" s="15">
        <f t="shared" si="64"/>
        <v>0</v>
      </c>
      <c r="S47" s="110">
        <f t="shared" si="97"/>
        <v>4.78734639953936</v>
      </c>
      <c r="T47" s="111">
        <f t="shared" si="53"/>
        <v>0.714</v>
      </c>
      <c r="U47" s="112">
        <f t="shared" si="98"/>
        <v>4.78734639953936</v>
      </c>
      <c r="V47" s="15"/>
      <c r="W47" s="88">
        <f t="shared" si="43"/>
        <v>8.064000000000004</v>
      </c>
      <c r="X47" s="88">
        <f t="shared" si="44"/>
        <v>88.06400000000001</v>
      </c>
      <c r="Y47" s="56">
        <f t="shared" si="45"/>
        <v>-0.01539519879102702</v>
      </c>
      <c r="Z47" s="56">
        <f t="shared" si="65"/>
        <v>-0.01539519879102702</v>
      </c>
      <c r="AA47" s="15">
        <f t="shared" si="9"/>
        <v>1.0000510204081632</v>
      </c>
      <c r="AB47" s="15">
        <f t="shared" si="66"/>
        <v>-11.985494354302986</v>
      </c>
      <c r="AC47" s="15">
        <f t="shared" si="99"/>
        <v>36.03102740972787</v>
      </c>
      <c r="AD47" s="15">
        <f t="shared" si="100"/>
        <v>0</v>
      </c>
      <c r="AE47" s="15">
        <f t="shared" si="101"/>
        <v>5.992441440343312</v>
      </c>
      <c r="AF47" s="15">
        <f t="shared" si="67"/>
        <v>-0.05819835193633624</v>
      </c>
      <c r="AG47" s="15">
        <f t="shared" si="68"/>
        <v>1.5707963267948966</v>
      </c>
      <c r="AH47" s="56">
        <f t="shared" si="69"/>
        <v>-0.058252341648169725</v>
      </c>
      <c r="AI47" s="15">
        <f t="shared" si="70"/>
        <v>0.7853981633974483</v>
      </c>
      <c r="AJ47" s="15">
        <f t="shared" si="71"/>
        <v>0</v>
      </c>
      <c r="AK47" s="57">
        <f t="shared" si="72"/>
        <v>0</v>
      </c>
      <c r="AL47" s="57">
        <f t="shared" si="102"/>
        <v>0</v>
      </c>
      <c r="AM47" s="58">
        <f t="shared" si="103"/>
        <v>-240.15532783074462</v>
      </c>
      <c r="AN47" s="59">
        <f t="shared" si="104"/>
        <v>0</v>
      </c>
      <c r="AO47" s="60">
        <f t="shared" si="105"/>
        <v>-246.15532783074462</v>
      </c>
      <c r="AP47" s="59">
        <f t="shared" si="73"/>
        <v>0</v>
      </c>
      <c r="AQ47" s="59">
        <f t="shared" si="74"/>
        <v>0</v>
      </c>
      <c r="AR47" s="61">
        <f t="shared" si="75"/>
        <v>0</v>
      </c>
      <c r="AS47" s="59">
        <f t="shared" si="76"/>
        <v>0</v>
      </c>
      <c r="AT47" s="60">
        <f t="shared" si="77"/>
        <v>-240.15532783074462</v>
      </c>
      <c r="AU47" s="59">
        <f t="shared" si="54"/>
        <v>0</v>
      </c>
      <c r="AV47" s="60">
        <f t="shared" si="78"/>
        <v>-240.15532783074462</v>
      </c>
      <c r="AW47" s="59">
        <f t="shared" si="79"/>
        <v>0</v>
      </c>
      <c r="AX47" s="59">
        <f t="shared" si="80"/>
        <v>0</v>
      </c>
      <c r="AY47" s="59">
        <f t="shared" si="81"/>
        <v>0</v>
      </c>
      <c r="AZ47" s="59">
        <f t="shared" si="82"/>
        <v>0</v>
      </c>
      <c r="BA47" s="59">
        <f t="shared" si="83"/>
        <v>0</v>
      </c>
      <c r="BB47" s="60" t="b">
        <f t="shared" si="84"/>
        <v>0</v>
      </c>
      <c r="BC47" s="60" t="b">
        <f t="shared" si="85"/>
        <v>0</v>
      </c>
      <c r="BD47" s="15" t="b">
        <f t="shared" si="86"/>
        <v>0</v>
      </c>
      <c r="BE47" s="15">
        <f t="shared" si="87"/>
        <v>-0.05819835193633624</v>
      </c>
      <c r="BF47" s="103">
        <f t="shared" si="88"/>
        <v>0</v>
      </c>
      <c r="BG47" s="103">
        <f t="shared" si="49"/>
        <v>0</v>
      </c>
      <c r="BH47" s="104">
        <f t="shared" si="55"/>
        <v>42</v>
      </c>
      <c r="BI47" s="105">
        <f t="shared" si="89"/>
        <v>0</v>
      </c>
      <c r="BJ47" s="51">
        <v>2</v>
      </c>
      <c r="BK47" s="60">
        <f t="shared" si="56"/>
        <v>0</v>
      </c>
      <c r="BL47" s="106">
        <f t="shared" si="50"/>
        <v>0</v>
      </c>
      <c r="BM47" s="15"/>
      <c r="BN47" s="59"/>
      <c r="BO47" s="113">
        <f t="shared" si="57"/>
        <v>0.4400000000000002</v>
      </c>
      <c r="BP47" s="107">
        <f t="shared" si="91"/>
        <v>44.282000000000025</v>
      </c>
      <c r="BQ47" s="108">
        <f t="shared" si="92"/>
        <v>56.17999999999998</v>
      </c>
      <c r="BR47" s="109">
        <f t="shared" si="93"/>
        <v>54.78799999999998</v>
      </c>
      <c r="BS47" s="15"/>
      <c r="BT47" s="15"/>
      <c r="BU47" s="15"/>
      <c r="BV47" s="15"/>
      <c r="BW47" s="15"/>
      <c r="BX47" s="15"/>
      <c r="BY47" s="15"/>
      <c r="BZ47" s="15"/>
      <c r="CA47" s="15"/>
      <c r="CB47" s="15">
        <f>BK106/100</f>
        <v>0.03520411206887505</v>
      </c>
      <c r="CC47" s="15"/>
      <c r="CD47" s="15"/>
      <c r="CE47" s="15"/>
      <c r="CF47" s="15">
        <f>ROUND((CF46+CG41),3)</f>
        <v>0.017</v>
      </c>
      <c r="CG47" s="15">
        <f>VLOOKUP(CF47,Draft,2)</f>
        <v>0.10408442639826569</v>
      </c>
      <c r="CH47" s="15"/>
      <c r="CI47" s="65"/>
      <c r="CJ47" s="66">
        <f>ROUND((CJ46+CG41),3)</f>
        <v>0.017</v>
      </c>
      <c r="CK47" s="53">
        <f>VLOOKUP(CJ47,Draft,2)</f>
        <v>0.10408442639826569</v>
      </c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</row>
    <row r="48" spans="1:208" ht="12.75">
      <c r="A48" s="129"/>
      <c r="B48" s="130">
        <v>1</v>
      </c>
      <c r="C48" s="129">
        <f>-(C37-C38)/(D31-C31)*Lpp</f>
        <v>-1.2032727272727253</v>
      </c>
      <c r="D48" s="129"/>
      <c r="E48" s="15"/>
      <c r="F48" s="15">
        <f t="shared" si="52"/>
        <v>43</v>
      </c>
      <c r="G48" s="15">
        <f t="shared" si="90"/>
        <v>0.731</v>
      </c>
      <c r="H48" s="88">
        <v>1</v>
      </c>
      <c r="I48" s="15">
        <f t="shared" si="0"/>
        <v>-12</v>
      </c>
      <c r="J48" s="15">
        <f t="shared" si="106"/>
        <v>35.072360999999994</v>
      </c>
      <c r="K48" s="15">
        <f t="shared" si="107"/>
        <v>1.9262803534273056</v>
      </c>
      <c r="L48" s="15">
        <f t="shared" si="94"/>
        <v>6.963140176713653</v>
      </c>
      <c r="M48" s="15">
        <f t="shared" si="108"/>
        <v>0.731</v>
      </c>
      <c r="N48" s="15">
        <f t="shared" si="109"/>
        <v>1.298441716564305</v>
      </c>
      <c r="O48" s="15">
        <f t="shared" si="63"/>
        <v>0.5196785045141666</v>
      </c>
      <c r="P48" s="15">
        <f t="shared" si="95"/>
        <v>4.386</v>
      </c>
      <c r="Q48" s="15">
        <f t="shared" si="96"/>
        <v>0</v>
      </c>
      <c r="R48" s="15">
        <f t="shared" si="64"/>
        <v>0</v>
      </c>
      <c r="S48" s="110">
        <f t="shared" si="97"/>
        <v>4.905678504514166</v>
      </c>
      <c r="T48" s="111">
        <f t="shared" si="53"/>
        <v>0.731</v>
      </c>
      <c r="U48" s="112">
        <f t="shared" si="98"/>
        <v>4.905678504514166</v>
      </c>
      <c r="V48" s="15"/>
      <c r="W48" s="88">
        <f t="shared" si="43"/>
        <v>8.256000000000004</v>
      </c>
      <c r="X48" s="88">
        <f t="shared" si="44"/>
        <v>88.256</v>
      </c>
      <c r="Y48" s="56">
        <f t="shared" si="45"/>
        <v>-0.01745889730342398</v>
      </c>
      <c r="Z48" s="56">
        <f t="shared" si="65"/>
        <v>-0.01745889730342398</v>
      </c>
      <c r="AA48" s="15">
        <f t="shared" si="9"/>
        <v>1.0000510204081632</v>
      </c>
      <c r="AB48" s="15">
        <f t="shared" si="66"/>
        <v>-11.985464872895665</v>
      </c>
      <c r="AC48" s="15">
        <f t="shared" si="99"/>
        <v>36.0352226077019</v>
      </c>
      <c r="AD48" s="15">
        <f t="shared" si="100"/>
        <v>0</v>
      </c>
      <c r="AE48" s="15">
        <f t="shared" si="101"/>
        <v>5.9924267003916905</v>
      </c>
      <c r="AF48" s="15">
        <f t="shared" si="67"/>
        <v>-0.06026194516336447</v>
      </c>
      <c r="AG48" s="15">
        <f t="shared" si="68"/>
        <v>1.5707963267948966</v>
      </c>
      <c r="AH48" s="56">
        <f t="shared" si="69"/>
        <v>-0.060316040160566686</v>
      </c>
      <c r="AI48" s="15">
        <f t="shared" si="70"/>
        <v>0.7853981633974483</v>
      </c>
      <c r="AJ48" s="15">
        <f t="shared" si="71"/>
        <v>0</v>
      </c>
      <c r="AK48" s="57">
        <f t="shared" si="72"/>
        <v>0</v>
      </c>
      <c r="AL48" s="57">
        <f t="shared" si="102"/>
        <v>0</v>
      </c>
      <c r="AM48" s="58">
        <f t="shared" si="103"/>
        <v>-240.4442456224802</v>
      </c>
      <c r="AN48" s="59">
        <f t="shared" si="104"/>
        <v>0</v>
      </c>
      <c r="AO48" s="60">
        <f t="shared" si="105"/>
        <v>-246.4442456224802</v>
      </c>
      <c r="AP48" s="59">
        <f t="shared" si="73"/>
        <v>0</v>
      </c>
      <c r="AQ48" s="59">
        <f t="shared" si="74"/>
        <v>0</v>
      </c>
      <c r="AR48" s="61">
        <f t="shared" si="75"/>
        <v>0</v>
      </c>
      <c r="AS48" s="59">
        <f t="shared" si="76"/>
        <v>0</v>
      </c>
      <c r="AT48" s="60">
        <f t="shared" si="77"/>
        <v>-240.4442456224802</v>
      </c>
      <c r="AU48" s="59">
        <f t="shared" si="54"/>
        <v>0</v>
      </c>
      <c r="AV48" s="60">
        <f t="shared" si="78"/>
        <v>-240.4442456224802</v>
      </c>
      <c r="AW48" s="59">
        <f t="shared" si="79"/>
        <v>0</v>
      </c>
      <c r="AX48" s="59">
        <f t="shared" si="80"/>
        <v>0</v>
      </c>
      <c r="AY48" s="59">
        <f t="shared" si="81"/>
        <v>0</v>
      </c>
      <c r="AZ48" s="59">
        <f t="shared" si="82"/>
        <v>0</v>
      </c>
      <c r="BA48" s="59">
        <f t="shared" si="83"/>
        <v>0</v>
      </c>
      <c r="BB48" s="60" t="b">
        <f t="shared" si="84"/>
        <v>0</v>
      </c>
      <c r="BC48" s="60" t="b">
        <f t="shared" si="85"/>
        <v>0</v>
      </c>
      <c r="BD48" s="15" t="b">
        <f t="shared" si="86"/>
        <v>0</v>
      </c>
      <c r="BE48" s="15">
        <f t="shared" si="87"/>
        <v>-0.06026194516336447</v>
      </c>
      <c r="BF48" s="103">
        <f t="shared" si="88"/>
        <v>0</v>
      </c>
      <c r="BG48" s="103">
        <f t="shared" si="49"/>
        <v>0</v>
      </c>
      <c r="BH48" s="104">
        <f t="shared" si="55"/>
        <v>43</v>
      </c>
      <c r="BI48" s="105">
        <f t="shared" si="89"/>
        <v>0</v>
      </c>
      <c r="BJ48" s="51">
        <v>4</v>
      </c>
      <c r="BK48" s="60">
        <f t="shared" si="56"/>
        <v>0</v>
      </c>
      <c r="BL48" s="106">
        <f t="shared" si="50"/>
        <v>0</v>
      </c>
      <c r="BM48" s="15"/>
      <c r="BN48" s="59"/>
      <c r="BO48" s="113">
        <f t="shared" si="57"/>
        <v>0.45000000000000023</v>
      </c>
      <c r="BP48" s="107">
        <f t="shared" si="91"/>
        <v>45.245000000000026</v>
      </c>
      <c r="BQ48" s="108">
        <f t="shared" si="92"/>
        <v>57.45499999999998</v>
      </c>
      <c r="BR48" s="109">
        <f t="shared" si="93"/>
        <v>55.984999999999985</v>
      </c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55">
        <f>IF(CF47&gt;hmx,hmx,(CB47-CG46)/(CG47-CG46)*CG41+CF46)</f>
        <v>0.005749850634531122</v>
      </c>
      <c r="CH48" s="15"/>
      <c r="CI48" s="65"/>
      <c r="CJ48" s="66">
        <f>ROUND((CJ47+CG41),3)</f>
        <v>0.034</v>
      </c>
      <c r="CK48" s="53">
        <f>VLOOKUP(CJ48,Draft,2)</f>
        <v>0.20988050660085122</v>
      </c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</row>
    <row r="49" spans="1:208" ht="12.75">
      <c r="A49" s="129"/>
      <c r="B49" s="130"/>
      <c r="C49" s="129"/>
      <c r="D49" s="129"/>
      <c r="E49" s="15"/>
      <c r="F49" s="15">
        <f t="shared" si="52"/>
        <v>44</v>
      </c>
      <c r="G49" s="15">
        <f t="shared" si="90"/>
        <v>0.748</v>
      </c>
      <c r="H49" s="88">
        <v>1</v>
      </c>
      <c r="I49" s="15">
        <f t="shared" si="0"/>
        <v>-12</v>
      </c>
      <c r="J49" s="15">
        <f t="shared" si="106"/>
        <v>35.063503999999995</v>
      </c>
      <c r="K49" s="15">
        <f t="shared" si="107"/>
        <v>1.9354544685938808</v>
      </c>
      <c r="L49" s="15">
        <f t="shared" si="94"/>
        <v>6.96772723429694</v>
      </c>
      <c r="M49" s="15">
        <f t="shared" si="108"/>
        <v>0.748</v>
      </c>
      <c r="N49" s="15">
        <f t="shared" si="109"/>
        <v>1.3160499279459414</v>
      </c>
      <c r="O49" s="15">
        <f t="shared" si="63"/>
        <v>0.5360913324515566</v>
      </c>
      <c r="P49" s="15">
        <f t="shared" si="95"/>
        <v>4.4879999999999995</v>
      </c>
      <c r="Q49" s="15">
        <f t="shared" si="96"/>
        <v>0</v>
      </c>
      <c r="R49" s="15">
        <f t="shared" si="64"/>
        <v>0</v>
      </c>
      <c r="S49" s="110">
        <f t="shared" si="97"/>
        <v>5.024091332451556</v>
      </c>
      <c r="T49" s="111">
        <f t="shared" si="53"/>
        <v>0.748</v>
      </c>
      <c r="U49" s="112">
        <f t="shared" si="98"/>
        <v>5.024091332451556</v>
      </c>
      <c r="V49" s="15"/>
      <c r="W49" s="88">
        <f t="shared" si="43"/>
        <v>8.448000000000004</v>
      </c>
      <c r="X49" s="88">
        <f t="shared" si="44"/>
        <v>88.44800000000001</v>
      </c>
      <c r="Y49" s="56">
        <f t="shared" si="45"/>
        <v>-0.019527470394333335</v>
      </c>
      <c r="Z49" s="56">
        <f t="shared" si="65"/>
        <v>-0.019527470394333335</v>
      </c>
      <c r="AA49" s="15">
        <f t="shared" si="9"/>
        <v>1.0000510204081632</v>
      </c>
      <c r="AB49" s="15">
        <f t="shared" si="66"/>
        <v>-11.98543532185151</v>
      </c>
      <c r="AC49" s="15">
        <f t="shared" si="99"/>
        <v>36.03943626288867</v>
      </c>
      <c r="AD49" s="15">
        <f t="shared" si="100"/>
        <v>0</v>
      </c>
      <c r="AE49" s="15">
        <f t="shared" si="101"/>
        <v>5.992411925623427</v>
      </c>
      <c r="AF49" s="15">
        <f t="shared" si="67"/>
        <v>-0.062330412720214806</v>
      </c>
      <c r="AG49" s="15">
        <f t="shared" si="68"/>
        <v>1.5707963267948966</v>
      </c>
      <c r="AH49" s="56">
        <f t="shared" si="69"/>
        <v>-0.06238461325147604</v>
      </c>
      <c r="AI49" s="15">
        <f t="shared" si="70"/>
        <v>0.7853981633974483</v>
      </c>
      <c r="AJ49" s="15">
        <f t="shared" si="71"/>
        <v>0</v>
      </c>
      <c r="AK49" s="57">
        <f t="shared" si="72"/>
        <v>0</v>
      </c>
      <c r="AL49" s="57">
        <f t="shared" si="102"/>
        <v>0</v>
      </c>
      <c r="AM49" s="58">
        <f t="shared" si="103"/>
        <v>-240.7338458552075</v>
      </c>
      <c r="AN49" s="59">
        <f t="shared" si="104"/>
        <v>0</v>
      </c>
      <c r="AO49" s="60">
        <f t="shared" si="105"/>
        <v>-246.7338458552075</v>
      </c>
      <c r="AP49" s="59">
        <f t="shared" si="73"/>
        <v>0</v>
      </c>
      <c r="AQ49" s="59">
        <f t="shared" si="74"/>
        <v>0</v>
      </c>
      <c r="AR49" s="61">
        <f t="shared" si="75"/>
        <v>0</v>
      </c>
      <c r="AS49" s="59">
        <f t="shared" si="76"/>
        <v>0</v>
      </c>
      <c r="AT49" s="60">
        <f t="shared" si="77"/>
        <v>-240.7338458552075</v>
      </c>
      <c r="AU49" s="59">
        <f t="shared" si="54"/>
        <v>0</v>
      </c>
      <c r="AV49" s="60">
        <f t="shared" si="78"/>
        <v>-240.7338458552075</v>
      </c>
      <c r="AW49" s="59">
        <f t="shared" si="79"/>
        <v>0</v>
      </c>
      <c r="AX49" s="59">
        <f t="shared" si="80"/>
        <v>0</v>
      </c>
      <c r="AY49" s="59">
        <f t="shared" si="81"/>
        <v>0</v>
      </c>
      <c r="AZ49" s="59">
        <f t="shared" si="82"/>
        <v>0</v>
      </c>
      <c r="BA49" s="59">
        <f t="shared" si="83"/>
        <v>0</v>
      </c>
      <c r="BB49" s="60" t="b">
        <f t="shared" si="84"/>
        <v>0</v>
      </c>
      <c r="BC49" s="60" t="b">
        <f t="shared" si="85"/>
        <v>0</v>
      </c>
      <c r="BD49" s="15" t="b">
        <f t="shared" si="86"/>
        <v>0</v>
      </c>
      <c r="BE49" s="15">
        <f t="shared" si="87"/>
        <v>-0.062330412720214806</v>
      </c>
      <c r="BF49" s="103">
        <f t="shared" si="88"/>
        <v>0</v>
      </c>
      <c r="BG49" s="103">
        <f t="shared" si="49"/>
        <v>0</v>
      </c>
      <c r="BH49" s="104">
        <f t="shared" si="55"/>
        <v>44</v>
      </c>
      <c r="BI49" s="105">
        <f t="shared" si="89"/>
        <v>0</v>
      </c>
      <c r="BJ49" s="51">
        <v>2</v>
      </c>
      <c r="BK49" s="60">
        <f t="shared" si="56"/>
        <v>0</v>
      </c>
      <c r="BL49" s="106">
        <f t="shared" si="50"/>
        <v>0</v>
      </c>
      <c r="BM49" s="15"/>
      <c r="BN49" s="59"/>
      <c r="BO49" s="113">
        <f t="shared" si="57"/>
        <v>0.46000000000000024</v>
      </c>
      <c r="BP49" s="107">
        <f t="shared" si="91"/>
        <v>46.20800000000003</v>
      </c>
      <c r="BQ49" s="108">
        <f t="shared" si="92"/>
        <v>58.729999999999976</v>
      </c>
      <c r="BR49" s="109">
        <f t="shared" si="93"/>
        <v>57.18199999999999</v>
      </c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67"/>
      <c r="CJ49" s="68"/>
      <c r="CK49" s="53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</row>
    <row r="50" spans="1:208" ht="13.5" thickBot="1">
      <c r="A50" s="129"/>
      <c r="B50" s="130"/>
      <c r="C50" s="129"/>
      <c r="D50" s="129"/>
      <c r="E50" s="15"/>
      <c r="F50" s="15">
        <f t="shared" si="52"/>
        <v>45</v>
      </c>
      <c r="G50" s="15">
        <f t="shared" si="90"/>
        <v>0.765</v>
      </c>
      <c r="H50" s="88">
        <v>1</v>
      </c>
      <c r="I50" s="15">
        <f t="shared" si="0"/>
        <v>-12</v>
      </c>
      <c r="J50" s="15">
        <f t="shared" si="106"/>
        <v>35.055225</v>
      </c>
      <c r="K50" s="15">
        <f t="shared" si="107"/>
        <v>1.9439907407186896</v>
      </c>
      <c r="L50" s="15">
        <f t="shared" si="94"/>
        <v>6.971995370359345</v>
      </c>
      <c r="M50" s="15">
        <f t="shared" si="108"/>
        <v>0.765</v>
      </c>
      <c r="N50" s="15">
        <f t="shared" si="109"/>
        <v>1.3335777587004611</v>
      </c>
      <c r="O50" s="15">
        <f t="shared" si="63"/>
        <v>0.5525794233330077</v>
      </c>
      <c r="P50" s="15">
        <f t="shared" si="95"/>
        <v>4.59</v>
      </c>
      <c r="Q50" s="15">
        <f t="shared" si="96"/>
        <v>0</v>
      </c>
      <c r="R50" s="15">
        <f t="shared" si="64"/>
        <v>0</v>
      </c>
      <c r="S50" s="110">
        <f t="shared" si="97"/>
        <v>5.142579423333007</v>
      </c>
      <c r="T50" s="111">
        <f t="shared" si="53"/>
        <v>0.765</v>
      </c>
      <c r="U50" s="112">
        <f t="shared" si="98"/>
        <v>5.142579423333007</v>
      </c>
      <c r="V50" s="15"/>
      <c r="W50" s="88">
        <f t="shared" si="43"/>
        <v>8.640000000000004</v>
      </c>
      <c r="X50" s="88">
        <f t="shared" si="44"/>
        <v>88.64</v>
      </c>
      <c r="Y50" s="56">
        <f t="shared" si="45"/>
        <v>-0.021600918063754193</v>
      </c>
      <c r="Z50" s="56">
        <f t="shared" si="65"/>
        <v>-0.021600918063754193</v>
      </c>
      <c r="AA50" s="15">
        <f t="shared" si="9"/>
        <v>1.0000510204081632</v>
      </c>
      <c r="AB50" s="15">
        <f t="shared" si="66"/>
        <v>-11.985405701170517</v>
      </c>
      <c r="AC50" s="15">
        <f t="shared" si="99"/>
        <v>36.0436684357887</v>
      </c>
      <c r="AD50" s="15">
        <f t="shared" si="100"/>
        <v>0</v>
      </c>
      <c r="AE50" s="15">
        <f t="shared" si="101"/>
        <v>5.992397116038522</v>
      </c>
      <c r="AF50" s="15">
        <f t="shared" si="67"/>
        <v>-0.06440375460688634</v>
      </c>
      <c r="AG50" s="15">
        <f t="shared" si="68"/>
        <v>1.5707963267948966</v>
      </c>
      <c r="AH50" s="56">
        <f t="shared" si="69"/>
        <v>-0.0644580609208969</v>
      </c>
      <c r="AI50" s="15">
        <f t="shared" si="70"/>
        <v>0.7853981633974483</v>
      </c>
      <c r="AJ50" s="15">
        <f t="shared" si="71"/>
        <v>0</v>
      </c>
      <c r="AK50" s="57">
        <f t="shared" si="72"/>
        <v>0</v>
      </c>
      <c r="AL50" s="57">
        <f t="shared" si="102"/>
        <v>0</v>
      </c>
      <c r="AM50" s="58">
        <f>(h-Y50)/DT</f>
        <v>-241.02412852892644</v>
      </c>
      <c r="AN50" s="59">
        <f t="shared" si="104"/>
        <v>0</v>
      </c>
      <c r="AO50" s="60">
        <f t="shared" si="105"/>
        <v>-247.02412852892644</v>
      </c>
      <c r="AP50" s="59">
        <f t="shared" si="73"/>
        <v>0</v>
      </c>
      <c r="AQ50" s="59">
        <f t="shared" si="74"/>
        <v>0</v>
      </c>
      <c r="AR50" s="61">
        <f t="shared" si="75"/>
        <v>0</v>
      </c>
      <c r="AS50" s="59">
        <f t="shared" si="76"/>
        <v>0</v>
      </c>
      <c r="AT50" s="60">
        <f t="shared" si="77"/>
        <v>-241.02412852892644</v>
      </c>
      <c r="AU50" s="59">
        <f t="shared" si="54"/>
        <v>0</v>
      </c>
      <c r="AV50" s="60">
        <f t="shared" si="78"/>
        <v>-241.02412852892644</v>
      </c>
      <c r="AW50" s="59">
        <f t="shared" si="79"/>
        <v>0</v>
      </c>
      <c r="AX50" s="59">
        <f t="shared" si="80"/>
        <v>0</v>
      </c>
      <c r="AY50" s="59">
        <f t="shared" si="81"/>
        <v>0</v>
      </c>
      <c r="AZ50" s="59">
        <f t="shared" si="82"/>
        <v>0</v>
      </c>
      <c r="BA50" s="59">
        <f t="shared" si="83"/>
        <v>0</v>
      </c>
      <c r="BB50" s="60" t="b">
        <f t="shared" si="84"/>
        <v>0</v>
      </c>
      <c r="BC50" s="60" t="b">
        <f t="shared" si="85"/>
        <v>0</v>
      </c>
      <c r="BD50" s="15" t="b">
        <f t="shared" si="86"/>
        <v>0</v>
      </c>
      <c r="BE50" s="15">
        <f t="shared" si="87"/>
        <v>-0.06440375460688634</v>
      </c>
      <c r="BF50" s="103">
        <f t="shared" si="88"/>
        <v>0</v>
      </c>
      <c r="BG50" s="103">
        <f t="shared" si="49"/>
        <v>0</v>
      </c>
      <c r="BH50" s="104">
        <f t="shared" si="55"/>
        <v>45</v>
      </c>
      <c r="BI50" s="105">
        <f t="shared" si="89"/>
        <v>0</v>
      </c>
      <c r="BJ50" s="51">
        <v>4</v>
      </c>
      <c r="BK50" s="60">
        <f t="shared" si="56"/>
        <v>0</v>
      </c>
      <c r="BL50" s="106">
        <f t="shared" si="50"/>
        <v>0</v>
      </c>
      <c r="BM50" s="15"/>
      <c r="BN50" s="59"/>
      <c r="BO50" s="113">
        <f t="shared" si="57"/>
        <v>0.47000000000000025</v>
      </c>
      <c r="BP50" s="117">
        <f t="shared" si="91"/>
        <v>47.17100000000003</v>
      </c>
      <c r="BQ50" s="118">
        <f t="shared" si="92"/>
        <v>60.004999999999974</v>
      </c>
      <c r="BR50" s="119">
        <f t="shared" si="93"/>
        <v>58.37899999999999</v>
      </c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65"/>
      <c r="CJ50" s="68"/>
      <c r="CK50" s="53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</row>
    <row r="51" spans="1:208" ht="12.75">
      <c r="A51" s="129"/>
      <c r="B51" s="130"/>
      <c r="C51" s="129"/>
      <c r="D51" s="129"/>
      <c r="E51" s="15"/>
      <c r="F51" s="15">
        <f t="shared" si="52"/>
        <v>46</v>
      </c>
      <c r="G51" s="15">
        <f t="shared" si="90"/>
        <v>0.782</v>
      </c>
      <c r="H51" s="88">
        <v>1</v>
      </c>
      <c r="I51" s="15">
        <f t="shared" si="0"/>
        <v>-12</v>
      </c>
      <c r="J51" s="15">
        <f t="shared" si="106"/>
        <v>35.047524</v>
      </c>
      <c r="K51" s="15">
        <f t="shared" si="107"/>
        <v>1.951897538294464</v>
      </c>
      <c r="L51" s="15">
        <f t="shared" si="94"/>
        <v>6.975948769147232</v>
      </c>
      <c r="M51" s="15">
        <f t="shared" si="108"/>
        <v>0.782</v>
      </c>
      <c r="N51" s="15">
        <f t="shared" si="109"/>
        <v>1.3510316148802346</v>
      </c>
      <c r="O51" s="15">
        <f t="shared" si="63"/>
        <v>0.5691373916030689</v>
      </c>
      <c r="P51" s="15">
        <f t="shared" si="95"/>
        <v>4.692</v>
      </c>
      <c r="Q51" s="15">
        <f t="shared" si="96"/>
        <v>0</v>
      </c>
      <c r="R51" s="15">
        <f t="shared" si="64"/>
        <v>0</v>
      </c>
      <c r="S51" s="110">
        <f t="shared" si="97"/>
        <v>5.261137391603069</v>
      </c>
      <c r="T51" s="111">
        <f t="shared" si="53"/>
        <v>0.782</v>
      </c>
      <c r="U51" s="112">
        <f t="shared" si="98"/>
        <v>5.261137391603069</v>
      </c>
      <c r="V51" s="15"/>
      <c r="W51" s="88">
        <f t="shared" si="43"/>
        <v>8.832000000000004</v>
      </c>
      <c r="X51" s="88">
        <f t="shared" si="44"/>
        <v>88.83200000000001</v>
      </c>
      <c r="Y51" s="56">
        <f t="shared" si="45"/>
        <v>-0.023679240311688332</v>
      </c>
      <c r="Z51" s="56">
        <f t="shared" si="65"/>
        <v>-0.023679240311688332</v>
      </c>
      <c r="AA51" s="15">
        <f t="shared" si="9"/>
        <v>1.0000510204081632</v>
      </c>
      <c r="AB51" s="15">
        <f t="shared" si="66"/>
        <v>-11.98537601085269</v>
      </c>
      <c r="AC51" s="15">
        <f t="shared" si="99"/>
        <v>36.04791918704511</v>
      </c>
      <c r="AD51" s="15">
        <f t="shared" si="100"/>
        <v>0</v>
      </c>
      <c r="AE51" s="15">
        <f t="shared" si="101"/>
        <v>5.992382271636976</v>
      </c>
      <c r="AF51" s="15">
        <f t="shared" si="67"/>
        <v>-0.06648197082338086</v>
      </c>
      <c r="AG51" s="15">
        <f t="shared" si="68"/>
        <v>1.5707963267948966</v>
      </c>
      <c r="AH51" s="56">
        <f t="shared" si="69"/>
        <v>-0.06653638316883104</v>
      </c>
      <c r="AI51" s="15">
        <f t="shared" si="70"/>
        <v>0.7853981633974483</v>
      </c>
      <c r="AJ51" s="15">
        <f t="shared" si="71"/>
        <v>0</v>
      </c>
      <c r="AK51" s="57">
        <f t="shared" si="72"/>
        <v>0</v>
      </c>
      <c r="AL51" s="57">
        <f t="shared" si="102"/>
        <v>0</v>
      </c>
      <c r="AM51" s="58">
        <f t="shared" si="103"/>
        <v>-241.31509364363723</v>
      </c>
      <c r="AN51" s="59">
        <f t="shared" si="104"/>
        <v>0</v>
      </c>
      <c r="AO51" s="60">
        <f t="shared" si="105"/>
        <v>-247.31509364363723</v>
      </c>
      <c r="AP51" s="59">
        <f t="shared" si="73"/>
        <v>0</v>
      </c>
      <c r="AQ51" s="59">
        <f t="shared" si="74"/>
        <v>0</v>
      </c>
      <c r="AR51" s="61">
        <f t="shared" si="75"/>
        <v>0</v>
      </c>
      <c r="AS51" s="59">
        <f t="shared" si="76"/>
        <v>0</v>
      </c>
      <c r="AT51" s="60">
        <f t="shared" si="77"/>
        <v>-241.31509364363723</v>
      </c>
      <c r="AU51" s="59">
        <f t="shared" si="54"/>
        <v>0</v>
      </c>
      <c r="AV51" s="60">
        <f t="shared" si="78"/>
        <v>-241.31509364363723</v>
      </c>
      <c r="AW51" s="59">
        <f t="shared" si="79"/>
        <v>0</v>
      </c>
      <c r="AX51" s="59">
        <f t="shared" si="80"/>
        <v>0</v>
      </c>
      <c r="AY51" s="59">
        <f t="shared" si="81"/>
        <v>0</v>
      </c>
      <c r="AZ51" s="59">
        <f t="shared" si="82"/>
        <v>0</v>
      </c>
      <c r="BA51" s="59">
        <f t="shared" si="83"/>
        <v>0</v>
      </c>
      <c r="BB51" s="60" t="b">
        <f t="shared" si="84"/>
        <v>0</v>
      </c>
      <c r="BC51" s="60" t="b">
        <f t="shared" si="85"/>
        <v>0</v>
      </c>
      <c r="BD51" s="15" t="b">
        <f t="shared" si="86"/>
        <v>0</v>
      </c>
      <c r="BE51" s="15">
        <f t="shared" si="87"/>
        <v>-0.06648197082338086</v>
      </c>
      <c r="BF51" s="103">
        <f t="shared" si="88"/>
        <v>0</v>
      </c>
      <c r="BG51" s="103">
        <f t="shared" si="49"/>
        <v>0</v>
      </c>
      <c r="BH51" s="104">
        <f t="shared" si="55"/>
        <v>46</v>
      </c>
      <c r="BI51" s="105">
        <f t="shared" si="89"/>
        <v>0</v>
      </c>
      <c r="BJ51" s="51">
        <v>2</v>
      </c>
      <c r="BK51" s="60">
        <f t="shared" si="56"/>
        <v>0</v>
      </c>
      <c r="BL51" s="106">
        <f t="shared" si="50"/>
        <v>0</v>
      </c>
      <c r="BM51" s="15"/>
      <c r="BN51" s="59"/>
      <c r="BO51" s="91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65" t="s">
        <v>63</v>
      </c>
      <c r="CJ51" s="68">
        <f>2*CK46-4*CK47+2*CK48</f>
        <v>0.0034233076086396808</v>
      </c>
      <c r="CK51" s="53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</row>
    <row r="52" spans="1:208" ht="12.75">
      <c r="A52" s="129"/>
      <c r="B52" s="130"/>
      <c r="C52" s="129"/>
      <c r="D52" s="129"/>
      <c r="E52" s="15"/>
      <c r="F52" s="15">
        <f t="shared" si="52"/>
        <v>47</v>
      </c>
      <c r="G52" s="15">
        <f t="shared" si="90"/>
        <v>0.7989999999999999</v>
      </c>
      <c r="H52" s="88">
        <v>1</v>
      </c>
      <c r="I52" s="15">
        <f t="shared" si="0"/>
        <v>-12</v>
      </c>
      <c r="J52" s="15">
        <f t="shared" si="106"/>
        <v>35.040401</v>
      </c>
      <c r="K52" s="15">
        <f t="shared" si="107"/>
        <v>1.9591824825676625</v>
      </c>
      <c r="L52" s="15">
        <f t="shared" si="94"/>
        <v>6.979591241283831</v>
      </c>
      <c r="M52" s="15">
        <f t="shared" si="108"/>
        <v>0.7989999999999999</v>
      </c>
      <c r="N52" s="15">
        <f t="shared" si="109"/>
        <v>1.368417678764318</v>
      </c>
      <c r="O52" s="15">
        <f t="shared" si="63"/>
        <v>0.5857599196331339</v>
      </c>
      <c r="P52" s="15">
        <f t="shared" si="95"/>
        <v>4.794</v>
      </c>
      <c r="Q52" s="15">
        <f t="shared" si="96"/>
        <v>0</v>
      </c>
      <c r="R52" s="15">
        <f t="shared" si="64"/>
        <v>0</v>
      </c>
      <c r="S52" s="110">
        <f t="shared" si="97"/>
        <v>5.379759919633133</v>
      </c>
      <c r="T52" s="111">
        <f t="shared" si="53"/>
        <v>0.799</v>
      </c>
      <c r="U52" s="112">
        <f t="shared" si="98"/>
        <v>5.379759919633133</v>
      </c>
      <c r="V52" s="15"/>
      <c r="W52" s="88">
        <f t="shared" si="43"/>
        <v>9.024000000000004</v>
      </c>
      <c r="X52" s="88">
        <f t="shared" si="44"/>
        <v>89.024</v>
      </c>
      <c r="Y52" s="56">
        <f t="shared" si="45"/>
        <v>-0.025762437138134864</v>
      </c>
      <c r="Z52" s="56">
        <f t="shared" si="65"/>
        <v>-0.025762437138134864</v>
      </c>
      <c r="AA52" s="15">
        <f t="shared" si="9"/>
        <v>1.0000510204081632</v>
      </c>
      <c r="AB52" s="15">
        <f t="shared" si="66"/>
        <v>-11.985346250898028</v>
      </c>
      <c r="AC52" s="15">
        <f t="shared" si="99"/>
        <v>36.052188577443566</v>
      </c>
      <c r="AD52" s="15">
        <f t="shared" si="100"/>
        <v>0</v>
      </c>
      <c r="AE52" s="15">
        <f t="shared" si="101"/>
        <v>5.992367392418789</v>
      </c>
      <c r="AF52" s="15">
        <f t="shared" si="67"/>
        <v>-0.06856506136969749</v>
      </c>
      <c r="AG52" s="15">
        <f t="shared" si="68"/>
        <v>1.5707963267948966</v>
      </c>
      <c r="AH52" s="56">
        <f t="shared" si="69"/>
        <v>-0.06861957999527757</v>
      </c>
      <c r="AI52" s="15">
        <f t="shared" si="70"/>
        <v>0.7853981633974483</v>
      </c>
      <c r="AJ52" s="15">
        <f t="shared" si="71"/>
        <v>0</v>
      </c>
      <c r="AK52" s="57">
        <f t="shared" si="72"/>
        <v>0</v>
      </c>
      <c r="AL52" s="57">
        <f t="shared" si="102"/>
        <v>0</v>
      </c>
      <c r="AM52" s="58">
        <f t="shared" si="103"/>
        <v>-241.60674119933972</v>
      </c>
      <c r="AN52" s="59">
        <f t="shared" si="104"/>
        <v>0</v>
      </c>
      <c r="AO52" s="60">
        <f t="shared" si="105"/>
        <v>-247.60674119933972</v>
      </c>
      <c r="AP52" s="59">
        <f t="shared" si="73"/>
        <v>0</v>
      </c>
      <c r="AQ52" s="59">
        <f t="shared" si="74"/>
        <v>0</v>
      </c>
      <c r="AR52" s="61">
        <f t="shared" si="75"/>
        <v>0</v>
      </c>
      <c r="AS52" s="59">
        <f t="shared" si="76"/>
        <v>0</v>
      </c>
      <c r="AT52" s="60">
        <f t="shared" si="77"/>
        <v>-241.60674119933972</v>
      </c>
      <c r="AU52" s="59">
        <f t="shared" si="54"/>
        <v>0</v>
      </c>
      <c r="AV52" s="60">
        <f t="shared" si="78"/>
        <v>-241.60674119933972</v>
      </c>
      <c r="AW52" s="59">
        <f t="shared" si="79"/>
        <v>0</v>
      </c>
      <c r="AX52" s="59">
        <f t="shared" si="80"/>
        <v>0</v>
      </c>
      <c r="AY52" s="59">
        <f t="shared" si="81"/>
        <v>0</v>
      </c>
      <c r="AZ52" s="59">
        <f t="shared" si="82"/>
        <v>0</v>
      </c>
      <c r="BA52" s="59">
        <f t="shared" si="83"/>
        <v>0</v>
      </c>
      <c r="BB52" s="60" t="b">
        <f t="shared" si="84"/>
        <v>0</v>
      </c>
      <c r="BC52" s="60" t="b">
        <f t="shared" si="85"/>
        <v>0</v>
      </c>
      <c r="BD52" s="15" t="b">
        <f t="shared" si="86"/>
        <v>0</v>
      </c>
      <c r="BE52" s="15">
        <f t="shared" si="87"/>
        <v>-0.06856506136969749</v>
      </c>
      <c r="BF52" s="103">
        <f t="shared" si="88"/>
        <v>0</v>
      </c>
      <c r="BG52" s="103">
        <f t="shared" si="49"/>
        <v>0</v>
      </c>
      <c r="BH52" s="104">
        <f t="shared" si="55"/>
        <v>47</v>
      </c>
      <c r="BI52" s="105">
        <f t="shared" si="89"/>
        <v>0</v>
      </c>
      <c r="BJ52" s="51">
        <v>4</v>
      </c>
      <c r="BK52" s="60">
        <f t="shared" si="56"/>
        <v>0</v>
      </c>
      <c r="BL52" s="106">
        <f t="shared" si="50"/>
        <v>0</v>
      </c>
      <c r="BM52" s="59">
        <f>VLOOKUP(s,TANK,1)</f>
        <v>0.05</v>
      </c>
      <c r="BN52" s="59">
        <f>VLOOKUP(s,TANK,BM3)</f>
        <v>7.99</v>
      </c>
      <c r="BO52" s="120"/>
      <c r="BP52" s="60">
        <f>VLOOKUP(z,TANK,1)</f>
        <v>0</v>
      </c>
      <c r="BQ52" s="60">
        <f>VLOOKUP(BP52,TANK,BM3)</f>
        <v>1.96</v>
      </c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65" t="s">
        <v>0</v>
      </c>
      <c r="CJ52" s="68">
        <f>4*CK47-3*CK46-CK48</f>
        <v>0.20645719899221154</v>
      </c>
      <c r="CK52" s="53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</row>
    <row r="53" spans="1:208" ht="12.75">
      <c r="A53" s="129"/>
      <c r="B53" s="129"/>
      <c r="C53" s="129">
        <f>C48</f>
        <v>-1.2032727272727253</v>
      </c>
      <c r="D53" s="129"/>
      <c r="E53" s="15"/>
      <c r="F53" s="15">
        <f t="shared" si="52"/>
        <v>48</v>
      </c>
      <c r="G53" s="15">
        <f t="shared" si="90"/>
        <v>0.816</v>
      </c>
      <c r="H53" s="88">
        <v>1</v>
      </c>
      <c r="I53" s="15">
        <f t="shared" si="0"/>
        <v>-12</v>
      </c>
      <c r="J53" s="15">
        <f t="shared" si="106"/>
        <v>35.033856</v>
      </c>
      <c r="K53" s="15">
        <f t="shared" si="107"/>
        <v>1.9658524868361815</v>
      </c>
      <c r="L53" s="15">
        <f t="shared" si="94"/>
        <v>6.982926243418091</v>
      </c>
      <c r="M53" s="15">
        <f t="shared" si="108"/>
        <v>0.816</v>
      </c>
      <c r="N53" s="15">
        <f t="shared" si="109"/>
        <v>1.3857419318694046</v>
      </c>
      <c r="O53" s="15">
        <f t="shared" si="63"/>
        <v>0.6024417515402379</v>
      </c>
      <c r="P53" s="15">
        <f t="shared" si="95"/>
        <v>4.896</v>
      </c>
      <c r="Q53" s="15">
        <f t="shared" si="96"/>
        <v>0</v>
      </c>
      <c r="R53" s="15">
        <f t="shared" si="64"/>
        <v>0</v>
      </c>
      <c r="S53" s="110">
        <f t="shared" si="97"/>
        <v>5.498441751540238</v>
      </c>
      <c r="T53" s="111">
        <f t="shared" si="53"/>
        <v>0.816</v>
      </c>
      <c r="U53" s="112">
        <f t="shared" si="98"/>
        <v>5.498441751540238</v>
      </c>
      <c r="V53" s="15"/>
      <c r="W53" s="88">
        <f t="shared" si="43"/>
        <v>9.216000000000005</v>
      </c>
      <c r="X53" s="88">
        <f t="shared" si="44"/>
        <v>89.21600000000001</v>
      </c>
      <c r="Y53" s="56">
        <f t="shared" si="45"/>
        <v>-0.027850508543093788</v>
      </c>
      <c r="Z53" s="56">
        <f t="shared" si="65"/>
        <v>-0.027850508543093788</v>
      </c>
      <c r="AA53" s="15">
        <f t="shared" si="9"/>
        <v>1.0000510204081632</v>
      </c>
      <c r="AB53" s="15">
        <f t="shared" si="66"/>
        <v>-11.985316421306527</v>
      </c>
      <c r="AC53" s="15">
        <f t="shared" si="99"/>
        <v>36.05647666791229</v>
      </c>
      <c r="AD53" s="15">
        <f t="shared" si="100"/>
        <v>0</v>
      </c>
      <c r="AE53" s="15">
        <f t="shared" si="101"/>
        <v>5.992352478383959</v>
      </c>
      <c r="AF53" s="15">
        <f t="shared" si="67"/>
        <v>-0.07065302624583619</v>
      </c>
      <c r="AG53" s="15">
        <f t="shared" si="68"/>
        <v>1.5707963267948966</v>
      </c>
      <c r="AH53" s="56">
        <f t="shared" si="69"/>
        <v>-0.0707076514002365</v>
      </c>
      <c r="AI53" s="15">
        <f t="shared" si="70"/>
        <v>0.7853981633974483</v>
      </c>
      <c r="AJ53" s="15">
        <f t="shared" si="71"/>
        <v>0</v>
      </c>
      <c r="AK53" s="57">
        <f t="shared" si="72"/>
        <v>0</v>
      </c>
      <c r="AL53" s="57">
        <f t="shared" si="102"/>
        <v>0</v>
      </c>
      <c r="AM53" s="58">
        <f t="shared" si="103"/>
        <v>-241.899071196034</v>
      </c>
      <c r="AN53" s="59">
        <f t="shared" si="104"/>
        <v>0</v>
      </c>
      <c r="AO53" s="60">
        <f t="shared" si="105"/>
        <v>-247.899071196034</v>
      </c>
      <c r="AP53" s="59">
        <f t="shared" si="73"/>
        <v>0</v>
      </c>
      <c r="AQ53" s="59">
        <f t="shared" si="74"/>
        <v>0</v>
      </c>
      <c r="AR53" s="61">
        <f t="shared" si="75"/>
        <v>0</v>
      </c>
      <c r="AS53" s="59">
        <f t="shared" si="76"/>
        <v>0</v>
      </c>
      <c r="AT53" s="60">
        <f t="shared" si="77"/>
        <v>-241.899071196034</v>
      </c>
      <c r="AU53" s="59">
        <f t="shared" si="54"/>
        <v>0</v>
      </c>
      <c r="AV53" s="60">
        <f t="shared" si="78"/>
        <v>-241.899071196034</v>
      </c>
      <c r="AW53" s="59">
        <f t="shared" si="79"/>
        <v>0</v>
      </c>
      <c r="AX53" s="59">
        <f t="shared" si="80"/>
        <v>0</v>
      </c>
      <c r="AY53" s="59">
        <f t="shared" si="81"/>
        <v>0</v>
      </c>
      <c r="AZ53" s="59">
        <f t="shared" si="82"/>
        <v>0</v>
      </c>
      <c r="BA53" s="59">
        <f t="shared" si="83"/>
        <v>0</v>
      </c>
      <c r="BB53" s="60" t="b">
        <f t="shared" si="84"/>
        <v>0</v>
      </c>
      <c r="BC53" s="60" t="b">
        <f t="shared" si="85"/>
        <v>0</v>
      </c>
      <c r="BD53" s="15" t="b">
        <f t="shared" si="86"/>
        <v>0</v>
      </c>
      <c r="BE53" s="15">
        <f t="shared" si="87"/>
        <v>-0.07065302624583619</v>
      </c>
      <c r="BF53" s="103">
        <f t="shared" si="88"/>
        <v>0</v>
      </c>
      <c r="BG53" s="103">
        <f t="shared" si="49"/>
        <v>0</v>
      </c>
      <c r="BH53" s="104">
        <f t="shared" si="55"/>
        <v>48</v>
      </c>
      <c r="BI53" s="105">
        <f t="shared" si="89"/>
        <v>0</v>
      </c>
      <c r="BJ53" s="51">
        <v>2</v>
      </c>
      <c r="BK53" s="60">
        <f t="shared" si="56"/>
        <v>0</v>
      </c>
      <c r="BL53" s="106">
        <f t="shared" si="50"/>
        <v>0</v>
      </c>
      <c r="BM53" s="59">
        <f>BM52+0.01</f>
        <v>0.060000000000000005</v>
      </c>
      <c r="BN53" s="59">
        <f>VLOOKUP(BM53,TANK,BM3)</f>
        <v>9.21</v>
      </c>
      <c r="BO53" s="120"/>
      <c r="BP53" s="60">
        <f>BP52+0.01</f>
        <v>0.01</v>
      </c>
      <c r="BQ53" s="60">
        <f>VLOOKUP(BP53,TANK,BM3)</f>
        <v>3.16</v>
      </c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65" t="s">
        <v>65</v>
      </c>
      <c r="CJ53" s="68">
        <f>CK46</f>
        <v>0</v>
      </c>
      <c r="CK53" s="53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</row>
    <row r="54" spans="1:208" ht="12.75">
      <c r="A54" s="129"/>
      <c r="B54" s="129"/>
      <c r="C54" s="129"/>
      <c r="D54" s="129"/>
      <c r="E54" s="15"/>
      <c r="F54" s="15">
        <f t="shared" si="52"/>
        <v>49</v>
      </c>
      <c r="G54" s="15">
        <f t="shared" si="90"/>
        <v>0.833</v>
      </c>
      <c r="H54" s="88">
        <v>1</v>
      </c>
      <c r="I54" s="15">
        <f t="shared" si="0"/>
        <v>-12</v>
      </c>
      <c r="J54" s="15">
        <f t="shared" si="106"/>
        <v>35.027889</v>
      </c>
      <c r="K54" s="15">
        <f t="shared" si="107"/>
        <v>1.9719137912190767</v>
      </c>
      <c r="L54" s="15">
        <f t="shared" si="94"/>
        <v>6.985956895609538</v>
      </c>
      <c r="M54" s="15">
        <f t="shared" si="108"/>
        <v>0.833</v>
      </c>
      <c r="N54" s="15">
        <f t="shared" si="109"/>
        <v>1.4030101762074179</v>
      </c>
      <c r="O54" s="15">
        <f t="shared" si="63"/>
        <v>0.6191776873203124</v>
      </c>
      <c r="P54" s="15">
        <f t="shared" si="95"/>
        <v>4.997999999999999</v>
      </c>
      <c r="Q54" s="15">
        <f t="shared" si="96"/>
        <v>0</v>
      </c>
      <c r="R54" s="15">
        <f t="shared" si="64"/>
        <v>0</v>
      </c>
      <c r="S54" s="110">
        <f t="shared" si="97"/>
        <v>5.617177687320312</v>
      </c>
      <c r="T54" s="111">
        <f t="shared" si="53"/>
        <v>0.833</v>
      </c>
      <c r="U54" s="112">
        <f t="shared" si="98"/>
        <v>5.617177687320312</v>
      </c>
      <c r="V54" s="15"/>
      <c r="W54" s="88">
        <f t="shared" si="43"/>
        <v>9.408000000000005</v>
      </c>
      <c r="X54" s="88">
        <f t="shared" si="44"/>
        <v>89.408</v>
      </c>
      <c r="Y54" s="56">
        <f t="shared" si="45"/>
        <v>-0.029943454526564217</v>
      </c>
      <c r="Z54" s="56">
        <f t="shared" si="65"/>
        <v>-0.029943454526564217</v>
      </c>
      <c r="AA54" s="15">
        <f t="shared" si="9"/>
        <v>1.0000510204081632</v>
      </c>
      <c r="AB54" s="15">
        <f t="shared" si="66"/>
        <v>-11.985286522078193</v>
      </c>
      <c r="AC54" s="15">
        <f t="shared" si="99"/>
        <v>36.06078351952211</v>
      </c>
      <c r="AD54" s="15">
        <f t="shared" si="100"/>
        <v>0</v>
      </c>
      <c r="AE54" s="15">
        <f t="shared" si="101"/>
        <v>5.992337529532488</v>
      </c>
      <c r="AF54" s="15">
        <f t="shared" si="67"/>
        <v>-0.07274586545179612</v>
      </c>
      <c r="AG54" s="15">
        <f t="shared" si="68"/>
        <v>1.5707963267948966</v>
      </c>
      <c r="AH54" s="56">
        <f t="shared" si="69"/>
        <v>-0.07280059738370692</v>
      </c>
      <c r="AI54" s="15">
        <f t="shared" si="70"/>
        <v>0.7853981633974483</v>
      </c>
      <c r="AJ54" s="15">
        <f t="shared" si="71"/>
        <v>0</v>
      </c>
      <c r="AK54" s="57">
        <f t="shared" si="72"/>
        <v>0</v>
      </c>
      <c r="AL54" s="57">
        <f t="shared" si="102"/>
        <v>0</v>
      </c>
      <c r="AM54" s="58">
        <f t="shared" si="103"/>
        <v>-242.19208363371985</v>
      </c>
      <c r="AN54" s="59">
        <f t="shared" si="104"/>
        <v>0</v>
      </c>
      <c r="AO54" s="60">
        <f t="shared" si="105"/>
        <v>-248.19208363371985</v>
      </c>
      <c r="AP54" s="59">
        <f t="shared" si="73"/>
        <v>0</v>
      </c>
      <c r="AQ54" s="59">
        <f t="shared" si="74"/>
        <v>0</v>
      </c>
      <c r="AR54" s="61">
        <f t="shared" si="75"/>
        <v>0</v>
      </c>
      <c r="AS54" s="59">
        <f t="shared" si="76"/>
        <v>0</v>
      </c>
      <c r="AT54" s="60">
        <f t="shared" si="77"/>
        <v>-242.19208363371985</v>
      </c>
      <c r="AU54" s="59">
        <f t="shared" si="54"/>
        <v>0</v>
      </c>
      <c r="AV54" s="60">
        <f t="shared" si="78"/>
        <v>-242.19208363371985</v>
      </c>
      <c r="AW54" s="59">
        <f t="shared" si="79"/>
        <v>0</v>
      </c>
      <c r="AX54" s="59">
        <f t="shared" si="80"/>
        <v>0</v>
      </c>
      <c r="AY54" s="59">
        <f t="shared" si="81"/>
        <v>0</v>
      </c>
      <c r="AZ54" s="59">
        <f t="shared" si="82"/>
        <v>0</v>
      </c>
      <c r="BA54" s="59">
        <f t="shared" si="83"/>
        <v>0</v>
      </c>
      <c r="BB54" s="60" t="b">
        <f t="shared" si="84"/>
        <v>0</v>
      </c>
      <c r="BC54" s="60" t="b">
        <f t="shared" si="85"/>
        <v>0</v>
      </c>
      <c r="BD54" s="15" t="b">
        <f t="shared" si="86"/>
        <v>0</v>
      </c>
      <c r="BE54" s="15">
        <f t="shared" si="87"/>
        <v>-0.07274586545179612</v>
      </c>
      <c r="BF54" s="103">
        <f t="shared" si="88"/>
        <v>0</v>
      </c>
      <c r="BG54" s="103">
        <f t="shared" si="49"/>
        <v>0</v>
      </c>
      <c r="BH54" s="104">
        <f t="shared" si="55"/>
        <v>49</v>
      </c>
      <c r="BI54" s="105">
        <f t="shared" si="89"/>
        <v>0</v>
      </c>
      <c r="BJ54" s="51">
        <v>4</v>
      </c>
      <c r="BK54" s="60">
        <f t="shared" si="56"/>
        <v>0</v>
      </c>
      <c r="BL54" s="106">
        <f t="shared" si="50"/>
        <v>0</v>
      </c>
      <c r="BM54" s="59"/>
      <c r="BN54" s="59"/>
      <c r="BO54" s="120"/>
      <c r="BP54" s="60"/>
      <c r="BQ54" s="60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65"/>
      <c r="CJ54" s="68"/>
      <c r="CK54" s="53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</row>
    <row r="55" spans="1:208" ht="12.75">
      <c r="A55" s="15"/>
      <c r="B55" s="15"/>
      <c r="C55" s="15"/>
      <c r="D55" s="15"/>
      <c r="E55" s="15"/>
      <c r="F55" s="15">
        <f t="shared" si="52"/>
        <v>50</v>
      </c>
      <c r="G55" s="15">
        <f t="shared" si="90"/>
        <v>0.85</v>
      </c>
      <c r="H55" s="88">
        <v>1</v>
      </c>
      <c r="I55" s="15">
        <f t="shared" si="0"/>
        <v>-12</v>
      </c>
      <c r="J55" s="15">
        <f t="shared" si="106"/>
        <v>35.022499999999994</v>
      </c>
      <c r="K55" s="15">
        <f t="shared" si="107"/>
        <v>1.9773719933285252</v>
      </c>
      <c r="L55" s="15">
        <f t="shared" si="94"/>
        <v>6.9886859966642625</v>
      </c>
      <c r="M55" s="15">
        <f t="shared" si="108"/>
        <v>0.85</v>
      </c>
      <c r="N55" s="15">
        <f t="shared" si="109"/>
        <v>1.4202280540182104</v>
      </c>
      <c r="O55" s="15">
        <f t="shared" si="63"/>
        <v>0.6359625772592858</v>
      </c>
      <c r="P55" s="15">
        <f t="shared" si="95"/>
        <v>5.1</v>
      </c>
      <c r="Q55" s="15">
        <f t="shared" si="96"/>
        <v>0</v>
      </c>
      <c r="R55" s="15">
        <f t="shared" si="64"/>
        <v>0</v>
      </c>
      <c r="S55" s="110">
        <f t="shared" si="97"/>
        <v>5.7359625772592855</v>
      </c>
      <c r="T55" s="111">
        <f t="shared" si="53"/>
        <v>0.85</v>
      </c>
      <c r="U55" s="112">
        <f t="shared" si="98"/>
        <v>5.7359625772592855</v>
      </c>
      <c r="V55" s="15"/>
      <c r="W55" s="88">
        <f t="shared" si="43"/>
        <v>9.600000000000005</v>
      </c>
      <c r="X55" s="88">
        <f t="shared" si="44"/>
        <v>89.60000000000001</v>
      </c>
      <c r="Y55" s="56">
        <f t="shared" si="45"/>
        <v>-0.03204127508854793</v>
      </c>
      <c r="Z55" s="56">
        <f t="shared" si="65"/>
        <v>-0.03204127508854793</v>
      </c>
      <c r="AA55" s="15">
        <f t="shared" si="9"/>
        <v>1.0000510204081632</v>
      </c>
      <c r="AB55" s="15">
        <f t="shared" si="66"/>
        <v>-11.98525655321302</v>
      </c>
      <c r="AC55" s="15">
        <f t="shared" si="99"/>
        <v>36.0651091934864</v>
      </c>
      <c r="AD55" s="15">
        <f t="shared" si="100"/>
        <v>0</v>
      </c>
      <c r="AE55" s="15">
        <f t="shared" si="101"/>
        <v>5.992322545864375</v>
      </c>
      <c r="AF55" s="15">
        <f t="shared" si="67"/>
        <v>-0.07484357898757903</v>
      </c>
      <c r="AG55" s="15">
        <f t="shared" si="68"/>
        <v>1.5707963267948966</v>
      </c>
      <c r="AH55" s="56">
        <f t="shared" si="69"/>
        <v>-0.07489841794569063</v>
      </c>
      <c r="AI55" s="15">
        <f t="shared" si="70"/>
        <v>0.7853981633974483</v>
      </c>
      <c r="AJ55" s="15">
        <f t="shared" si="71"/>
        <v>0</v>
      </c>
      <c r="AK55" s="57">
        <f t="shared" si="72"/>
        <v>0</v>
      </c>
      <c r="AL55" s="57">
        <f t="shared" si="102"/>
        <v>0</v>
      </c>
      <c r="AM55" s="58">
        <f t="shared" si="103"/>
        <v>-242.48577851239756</v>
      </c>
      <c r="AN55" s="59">
        <f t="shared" si="104"/>
        <v>0</v>
      </c>
      <c r="AO55" s="60">
        <f t="shared" si="105"/>
        <v>-248.48577851239756</v>
      </c>
      <c r="AP55" s="59">
        <f t="shared" si="73"/>
        <v>0</v>
      </c>
      <c r="AQ55" s="59">
        <f t="shared" si="74"/>
        <v>0</v>
      </c>
      <c r="AR55" s="61">
        <f t="shared" si="75"/>
        <v>0</v>
      </c>
      <c r="AS55" s="59">
        <f t="shared" si="76"/>
        <v>0</v>
      </c>
      <c r="AT55" s="60">
        <f t="shared" si="77"/>
        <v>-242.48577851239756</v>
      </c>
      <c r="AU55" s="59">
        <f t="shared" si="54"/>
        <v>0</v>
      </c>
      <c r="AV55" s="60">
        <f t="shared" si="78"/>
        <v>-242.48577851239756</v>
      </c>
      <c r="AW55" s="59">
        <f t="shared" si="79"/>
        <v>0</v>
      </c>
      <c r="AX55" s="59">
        <f t="shared" si="80"/>
        <v>0</v>
      </c>
      <c r="AY55" s="59">
        <f t="shared" si="81"/>
        <v>0</v>
      </c>
      <c r="AZ55" s="59">
        <f t="shared" si="82"/>
        <v>0</v>
      </c>
      <c r="BA55" s="59">
        <f t="shared" si="83"/>
        <v>0</v>
      </c>
      <c r="BB55" s="60" t="b">
        <f t="shared" si="84"/>
        <v>0</v>
      </c>
      <c r="BC55" s="60" t="b">
        <f t="shared" si="85"/>
        <v>0</v>
      </c>
      <c r="BD55" s="15" t="b">
        <f t="shared" si="86"/>
        <v>0</v>
      </c>
      <c r="BE55" s="15">
        <f t="shared" si="87"/>
        <v>-0.07484357898757903</v>
      </c>
      <c r="BF55" s="103">
        <f t="shared" si="88"/>
        <v>0</v>
      </c>
      <c r="BG55" s="103">
        <f t="shared" si="49"/>
        <v>0</v>
      </c>
      <c r="BH55" s="104">
        <f t="shared" si="55"/>
        <v>50</v>
      </c>
      <c r="BI55" s="105">
        <f t="shared" si="89"/>
        <v>0</v>
      </c>
      <c r="BJ55" s="51">
        <v>2</v>
      </c>
      <c r="BK55" s="60">
        <f t="shared" si="56"/>
        <v>0</v>
      </c>
      <c r="BL55" s="106">
        <f t="shared" si="50"/>
        <v>0</v>
      </c>
      <c r="BM55" s="59">
        <f>BN52+(BN53-BN52)*(s-BM52)*100</f>
        <v>7.99</v>
      </c>
      <c r="BN55" s="59"/>
      <c r="BO55" s="120"/>
      <c r="BP55" s="60">
        <f>BQ52+(BQ53-BQ52)*(z-BP52)*100</f>
        <v>2.68</v>
      </c>
      <c r="BQ55" s="60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65" t="s">
        <v>83</v>
      </c>
      <c r="CJ55" s="68">
        <f>(-CJ52+(CJ52^2-4*CJ51*(CJ53-CB47))^0.5)/(2*CJ51)*(CJ48-CJ46)+CJ46</f>
        <v>0.005781220771548085</v>
      </c>
      <c r="CK55" s="53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</row>
    <row r="56" spans="1:208" ht="13.5" thickBot="1">
      <c r="A56" s="15"/>
      <c r="B56" s="15"/>
      <c r="C56" s="15">
        <f>(D31+C31)/2</f>
        <v>89.6</v>
      </c>
      <c r="D56" s="15"/>
      <c r="E56" s="15"/>
      <c r="F56" s="15">
        <f t="shared" si="52"/>
        <v>51</v>
      </c>
      <c r="G56" s="15">
        <f t="shared" si="90"/>
        <v>0.867</v>
      </c>
      <c r="H56" s="88">
        <v>1</v>
      </c>
      <c r="I56" s="15">
        <f t="shared" si="0"/>
        <v>-12</v>
      </c>
      <c r="J56" s="15">
        <f t="shared" si="106"/>
        <v>35.017689</v>
      </c>
      <c r="K56" s="15">
        <f t="shared" si="107"/>
        <v>1.9822320752121865</v>
      </c>
      <c r="L56" s="15">
        <f t="shared" si="94"/>
        <v>6.991116037606093</v>
      </c>
      <c r="M56" s="15">
        <f t="shared" si="108"/>
        <v>0.867</v>
      </c>
      <c r="N56" s="15">
        <f t="shared" si="109"/>
        <v>1.4374010661792171</v>
      </c>
      <c r="O56" s="15">
        <f t="shared" si="63"/>
        <v>0.6527913165888035</v>
      </c>
      <c r="P56" s="15">
        <f t="shared" si="95"/>
        <v>5.202</v>
      </c>
      <c r="Q56" s="15">
        <f t="shared" si="96"/>
        <v>0</v>
      </c>
      <c r="R56" s="15">
        <f t="shared" si="64"/>
        <v>0</v>
      </c>
      <c r="S56" s="110">
        <f t="shared" si="97"/>
        <v>5.854791316588804</v>
      </c>
      <c r="T56" s="111">
        <f t="shared" si="53"/>
        <v>0.867</v>
      </c>
      <c r="U56" s="112">
        <f t="shared" si="98"/>
        <v>5.854791316588804</v>
      </c>
      <c r="V56" s="15"/>
      <c r="W56" s="88">
        <f t="shared" si="43"/>
        <v>9.792000000000005</v>
      </c>
      <c r="X56" s="88">
        <f t="shared" si="44"/>
        <v>89.792</v>
      </c>
      <c r="Y56" s="56">
        <f t="shared" si="45"/>
        <v>-0.03414397022904403</v>
      </c>
      <c r="Z56" s="56">
        <f t="shared" si="65"/>
        <v>-0.03414397022904403</v>
      </c>
      <c r="AA56" s="15">
        <f t="shared" si="9"/>
        <v>1.0000510204081632</v>
      </c>
      <c r="AB56" s="15">
        <f t="shared" si="66"/>
        <v>-11.985226514711014</v>
      </c>
      <c r="AC56" s="15">
        <f t="shared" si="99"/>
        <v>36.06945375116109</v>
      </c>
      <c r="AD56" s="15">
        <f t="shared" si="100"/>
        <v>0</v>
      </c>
      <c r="AE56" s="15">
        <f t="shared" si="101"/>
        <v>5.992307527379621</v>
      </c>
      <c r="AF56" s="15">
        <f t="shared" si="67"/>
        <v>-0.07694616685318403</v>
      </c>
      <c r="AG56" s="15">
        <f t="shared" si="68"/>
        <v>1.5707963267948966</v>
      </c>
      <c r="AH56" s="56">
        <f t="shared" si="69"/>
        <v>-0.07700111308618673</v>
      </c>
      <c r="AI56" s="15">
        <f t="shared" si="70"/>
        <v>0.7853981633974483</v>
      </c>
      <c r="AJ56" s="15">
        <f t="shared" si="71"/>
        <v>0</v>
      </c>
      <c r="AK56" s="57">
        <f t="shared" si="72"/>
        <v>0</v>
      </c>
      <c r="AL56" s="57">
        <f t="shared" si="102"/>
        <v>0</v>
      </c>
      <c r="AM56" s="58">
        <f t="shared" si="103"/>
        <v>-242.780155832067</v>
      </c>
      <c r="AN56" s="59">
        <f t="shared" si="104"/>
        <v>0</v>
      </c>
      <c r="AO56" s="60">
        <f t="shared" si="105"/>
        <v>-248.780155832067</v>
      </c>
      <c r="AP56" s="59">
        <f t="shared" si="73"/>
        <v>0</v>
      </c>
      <c r="AQ56" s="59">
        <f t="shared" si="74"/>
        <v>0</v>
      </c>
      <c r="AR56" s="61">
        <f t="shared" si="75"/>
        <v>0</v>
      </c>
      <c r="AS56" s="59">
        <f t="shared" si="76"/>
        <v>0</v>
      </c>
      <c r="AT56" s="60">
        <f t="shared" si="77"/>
        <v>-242.780155832067</v>
      </c>
      <c r="AU56" s="59">
        <f t="shared" si="54"/>
        <v>0</v>
      </c>
      <c r="AV56" s="60">
        <f t="shared" si="78"/>
        <v>-242.780155832067</v>
      </c>
      <c r="AW56" s="59">
        <f t="shared" si="79"/>
        <v>0</v>
      </c>
      <c r="AX56" s="59">
        <f t="shared" si="80"/>
        <v>0</v>
      </c>
      <c r="AY56" s="59">
        <f t="shared" si="81"/>
        <v>0</v>
      </c>
      <c r="AZ56" s="59">
        <f t="shared" si="82"/>
        <v>0</v>
      </c>
      <c r="BA56" s="59">
        <f t="shared" si="83"/>
        <v>0</v>
      </c>
      <c r="BB56" s="60" t="b">
        <f t="shared" si="84"/>
        <v>0</v>
      </c>
      <c r="BC56" s="60" t="b">
        <f t="shared" si="85"/>
        <v>0</v>
      </c>
      <c r="BD56" s="15" t="b">
        <f t="shared" si="86"/>
        <v>0</v>
      </c>
      <c r="BE56" s="15">
        <f t="shared" si="87"/>
        <v>-0.07694616685318403</v>
      </c>
      <c r="BF56" s="103">
        <f t="shared" si="88"/>
        <v>0</v>
      </c>
      <c r="BG56" s="103">
        <f t="shared" si="49"/>
        <v>0</v>
      </c>
      <c r="BH56" s="104">
        <f t="shared" si="55"/>
        <v>51</v>
      </c>
      <c r="BI56" s="105">
        <f t="shared" si="89"/>
        <v>0</v>
      </c>
      <c r="BJ56" s="51">
        <v>4</v>
      </c>
      <c r="BK56" s="60">
        <f t="shared" si="56"/>
        <v>0</v>
      </c>
      <c r="BL56" s="106">
        <f t="shared" si="50"/>
        <v>0</v>
      </c>
      <c r="BM56" s="15"/>
      <c r="BN56" s="59"/>
      <c r="BO56" s="91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69"/>
      <c r="CJ56" s="70">
        <f>IF(CJ51=0,CG48,CJ55)</f>
        <v>0.005781220771548085</v>
      </c>
      <c r="CK56" s="54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</row>
    <row r="57" spans="1:208" ht="12.75">
      <c r="A57" s="15"/>
      <c r="B57" s="15"/>
      <c r="C57" s="15"/>
      <c r="D57" s="15"/>
      <c r="E57" s="15"/>
      <c r="F57" s="15">
        <f t="shared" si="52"/>
        <v>52</v>
      </c>
      <c r="G57" s="15">
        <f t="shared" si="90"/>
        <v>0.8839999999999999</v>
      </c>
      <c r="H57" s="88">
        <v>1</v>
      </c>
      <c r="I57" s="15">
        <f t="shared" si="0"/>
        <v>-12</v>
      </c>
      <c r="J57" s="15">
        <f t="shared" si="106"/>
        <v>35.013456</v>
      </c>
      <c r="K57" s="15">
        <f t="shared" si="107"/>
        <v>1.986498426880829</v>
      </c>
      <c r="L57" s="15">
        <f t="shared" si="94"/>
        <v>6.993249213440414</v>
      </c>
      <c r="M57" s="15">
        <f t="shared" si="108"/>
        <v>0.8839999999999999</v>
      </c>
      <c r="N57" s="15">
        <f t="shared" si="109"/>
        <v>1.4545345894715693</v>
      </c>
      <c r="O57" s="15">
        <f t="shared" si="63"/>
        <v>0.6696588403562407</v>
      </c>
      <c r="P57" s="15">
        <f t="shared" si="95"/>
        <v>5.303999999999999</v>
      </c>
      <c r="Q57" s="15">
        <f t="shared" si="96"/>
        <v>0</v>
      </c>
      <c r="R57" s="15">
        <f t="shared" si="64"/>
        <v>0</v>
      </c>
      <c r="S57" s="110">
        <f t="shared" si="97"/>
        <v>5.97365884035624</v>
      </c>
      <c r="T57" s="111">
        <f t="shared" si="53"/>
        <v>0.884</v>
      </c>
      <c r="U57" s="112">
        <f t="shared" si="98"/>
        <v>5.97365884035624</v>
      </c>
      <c r="V57" s="15"/>
      <c r="W57" s="88">
        <f t="shared" si="43"/>
        <v>9.984000000000005</v>
      </c>
      <c r="X57" s="88">
        <f t="shared" si="44"/>
        <v>89.98400000000001</v>
      </c>
      <c r="Y57" s="56">
        <f t="shared" si="45"/>
        <v>-0.036251539948052525</v>
      </c>
      <c r="Z57" s="56">
        <f t="shared" si="65"/>
        <v>-0.036251539948052525</v>
      </c>
      <c r="AA57" s="15">
        <f t="shared" si="9"/>
        <v>1.0000510204081632</v>
      </c>
      <c r="AB57" s="15">
        <f t="shared" si="66"/>
        <v>-11.98519640657217</v>
      </c>
      <c r="AC57" s="15">
        <f t="shared" si="99"/>
        <v>36.07381725404471</v>
      </c>
      <c r="AD57" s="15">
        <f t="shared" si="100"/>
        <v>0</v>
      </c>
      <c r="AE57" s="15">
        <f t="shared" si="101"/>
        <v>5.992292474078225</v>
      </c>
      <c r="AF57" s="15">
        <f t="shared" si="67"/>
        <v>-0.07905362904861113</v>
      </c>
      <c r="AG57" s="15">
        <f t="shared" si="68"/>
        <v>1.5707963267948966</v>
      </c>
      <c r="AH57" s="56">
        <f t="shared" si="69"/>
        <v>-0.07910868280519523</v>
      </c>
      <c r="AI57" s="15">
        <f t="shared" si="70"/>
        <v>0.7853981633974483</v>
      </c>
      <c r="AJ57" s="15">
        <f t="shared" si="71"/>
        <v>0</v>
      </c>
      <c r="AK57" s="57">
        <f t="shared" si="72"/>
        <v>0</v>
      </c>
      <c r="AL57" s="57">
        <f t="shared" si="102"/>
        <v>0</v>
      </c>
      <c r="AM57" s="58">
        <f t="shared" si="103"/>
        <v>-243.0752155927282</v>
      </c>
      <c r="AN57" s="59">
        <f t="shared" si="104"/>
        <v>0</v>
      </c>
      <c r="AO57" s="60">
        <f t="shared" si="105"/>
        <v>-249.0752155927282</v>
      </c>
      <c r="AP57" s="59">
        <f t="shared" si="73"/>
        <v>0</v>
      </c>
      <c r="AQ57" s="59">
        <f t="shared" si="74"/>
        <v>0</v>
      </c>
      <c r="AR57" s="61">
        <f t="shared" si="75"/>
        <v>0</v>
      </c>
      <c r="AS57" s="59">
        <f t="shared" si="76"/>
        <v>0</v>
      </c>
      <c r="AT57" s="60">
        <f t="shared" si="77"/>
        <v>-243.0752155927282</v>
      </c>
      <c r="AU57" s="59">
        <f t="shared" si="54"/>
        <v>0</v>
      </c>
      <c r="AV57" s="60">
        <f t="shared" si="78"/>
        <v>-243.0752155927282</v>
      </c>
      <c r="AW57" s="59">
        <f t="shared" si="79"/>
        <v>0</v>
      </c>
      <c r="AX57" s="59">
        <f t="shared" si="80"/>
        <v>0</v>
      </c>
      <c r="AY57" s="59">
        <f t="shared" si="81"/>
        <v>0</v>
      </c>
      <c r="AZ57" s="59">
        <f t="shared" si="82"/>
        <v>0</v>
      </c>
      <c r="BA57" s="59">
        <f t="shared" si="83"/>
        <v>0</v>
      </c>
      <c r="BB57" s="60" t="b">
        <f t="shared" si="84"/>
        <v>0</v>
      </c>
      <c r="BC57" s="60" t="b">
        <f t="shared" si="85"/>
        <v>0</v>
      </c>
      <c r="BD57" s="15" t="b">
        <f t="shared" si="86"/>
        <v>0</v>
      </c>
      <c r="BE57" s="15">
        <f t="shared" si="87"/>
        <v>-0.07905362904861113</v>
      </c>
      <c r="BF57" s="103">
        <f t="shared" si="88"/>
        <v>0</v>
      </c>
      <c r="BG57" s="103">
        <f t="shared" si="49"/>
        <v>0</v>
      </c>
      <c r="BH57" s="104">
        <f t="shared" si="55"/>
        <v>52</v>
      </c>
      <c r="BI57" s="105">
        <f t="shared" si="89"/>
        <v>0</v>
      </c>
      <c r="BJ57" s="51">
        <v>2</v>
      </c>
      <c r="BK57" s="60">
        <f t="shared" si="56"/>
        <v>0</v>
      </c>
      <c r="BL57" s="106">
        <f t="shared" si="50"/>
        <v>0</v>
      </c>
      <c r="BM57" s="15"/>
      <c r="BN57" s="59"/>
      <c r="BO57" s="91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</row>
    <row r="58" spans="1:208" ht="12.75">
      <c r="A58" s="15"/>
      <c r="B58" s="15" t="s">
        <v>81</v>
      </c>
      <c r="C58" s="15">
        <f>-8*(C56-Lpp/2)/Lpp</f>
        <v>-2.516363636363636</v>
      </c>
      <c r="D58" s="15"/>
      <c r="E58" s="15"/>
      <c r="F58" s="15">
        <f t="shared" si="52"/>
        <v>53</v>
      </c>
      <c r="G58" s="15">
        <f t="shared" si="90"/>
        <v>0.9009999999999999</v>
      </c>
      <c r="H58" s="88">
        <v>1</v>
      </c>
      <c r="I58" s="15">
        <f t="shared" si="0"/>
        <v>-12</v>
      </c>
      <c r="J58" s="15">
        <f t="shared" si="106"/>
        <v>35.009801</v>
      </c>
      <c r="K58" s="15">
        <f t="shared" si="107"/>
        <v>1.9901748666888515</v>
      </c>
      <c r="L58" s="15">
        <f t="shared" si="94"/>
        <v>6.995087433344426</v>
      </c>
      <c r="M58" s="15">
        <f t="shared" si="108"/>
        <v>0.9009999999999999</v>
      </c>
      <c r="N58" s="15">
        <f t="shared" si="109"/>
        <v>1.4716338928633967</v>
      </c>
      <c r="O58" s="15">
        <f t="shared" si="63"/>
        <v>0.6865601184811492</v>
      </c>
      <c r="P58" s="15">
        <f t="shared" si="95"/>
        <v>5.406</v>
      </c>
      <c r="Q58" s="15">
        <f t="shared" si="96"/>
        <v>0</v>
      </c>
      <c r="R58" s="15">
        <f t="shared" si="64"/>
        <v>0</v>
      </c>
      <c r="S58" s="110">
        <f t="shared" si="97"/>
        <v>6.092560118481149</v>
      </c>
      <c r="T58" s="111">
        <f t="shared" si="53"/>
        <v>0.901</v>
      </c>
      <c r="U58" s="112">
        <f t="shared" si="98"/>
        <v>6.092560118481149</v>
      </c>
      <c r="V58" s="15"/>
      <c r="W58" s="88">
        <f t="shared" si="43"/>
        <v>10.176000000000005</v>
      </c>
      <c r="X58" s="88">
        <f t="shared" si="44"/>
        <v>90.176</v>
      </c>
      <c r="Y58" s="56">
        <f t="shared" si="45"/>
        <v>-0.038363984245572524</v>
      </c>
      <c r="Z58" s="56">
        <f t="shared" si="65"/>
        <v>-0.038363984245572524</v>
      </c>
      <c r="AA58" s="15">
        <f t="shared" si="9"/>
        <v>1.0000510204081632</v>
      </c>
      <c r="AB58" s="15">
        <f t="shared" si="66"/>
        <v>-11.985166228796492</v>
      </c>
      <c r="AC58" s="15">
        <f t="shared" si="99"/>
        <v>36.07819976377834</v>
      </c>
      <c r="AD58" s="15">
        <f t="shared" si="100"/>
        <v>0</v>
      </c>
      <c r="AE58" s="15">
        <f t="shared" si="101"/>
        <v>5.992277385960188</v>
      </c>
      <c r="AF58" s="15">
        <f t="shared" si="67"/>
        <v>-0.08116596557385944</v>
      </c>
      <c r="AG58" s="15">
        <f t="shared" si="68"/>
        <v>1.5707963267948966</v>
      </c>
      <c r="AH58" s="56">
        <f t="shared" si="69"/>
        <v>-0.08122112710271523</v>
      </c>
      <c r="AI58" s="15">
        <f t="shared" si="70"/>
        <v>0.7853981633974483</v>
      </c>
      <c r="AJ58" s="15">
        <f t="shared" si="71"/>
        <v>0</v>
      </c>
      <c r="AK58" s="57">
        <f t="shared" si="72"/>
        <v>0</v>
      </c>
      <c r="AL58" s="57">
        <f t="shared" si="102"/>
        <v>0</v>
      </c>
      <c r="AM58" s="58">
        <f t="shared" si="103"/>
        <v>-243.370957794381</v>
      </c>
      <c r="AN58" s="59">
        <f t="shared" si="104"/>
        <v>0</v>
      </c>
      <c r="AO58" s="60">
        <f t="shared" si="105"/>
        <v>-249.370957794381</v>
      </c>
      <c r="AP58" s="59">
        <f t="shared" si="73"/>
        <v>0</v>
      </c>
      <c r="AQ58" s="59">
        <f t="shared" si="74"/>
        <v>0</v>
      </c>
      <c r="AR58" s="61">
        <f t="shared" si="75"/>
        <v>0</v>
      </c>
      <c r="AS58" s="59">
        <f t="shared" si="76"/>
        <v>0</v>
      </c>
      <c r="AT58" s="60">
        <f t="shared" si="77"/>
        <v>-243.370957794381</v>
      </c>
      <c r="AU58" s="59">
        <f t="shared" si="54"/>
        <v>0</v>
      </c>
      <c r="AV58" s="60">
        <f t="shared" si="78"/>
        <v>-243.370957794381</v>
      </c>
      <c r="AW58" s="59">
        <f t="shared" si="79"/>
        <v>0</v>
      </c>
      <c r="AX58" s="59">
        <f t="shared" si="80"/>
        <v>0</v>
      </c>
      <c r="AY58" s="59">
        <f t="shared" si="81"/>
        <v>0</v>
      </c>
      <c r="AZ58" s="59">
        <f t="shared" si="82"/>
        <v>0</v>
      </c>
      <c r="BA58" s="59">
        <f t="shared" si="83"/>
        <v>0</v>
      </c>
      <c r="BB58" s="60" t="b">
        <f t="shared" si="84"/>
        <v>0</v>
      </c>
      <c r="BC58" s="60" t="b">
        <f t="shared" si="85"/>
        <v>0</v>
      </c>
      <c r="BD58" s="15" t="b">
        <f t="shared" si="86"/>
        <v>0</v>
      </c>
      <c r="BE58" s="15">
        <f t="shared" si="87"/>
        <v>-0.08116596557385944</v>
      </c>
      <c r="BF58" s="103">
        <f t="shared" si="88"/>
        <v>0</v>
      </c>
      <c r="BG58" s="103">
        <f t="shared" si="49"/>
        <v>0</v>
      </c>
      <c r="BH58" s="104">
        <f t="shared" si="55"/>
        <v>53</v>
      </c>
      <c r="BI58" s="105">
        <f t="shared" si="89"/>
        <v>0</v>
      </c>
      <c r="BJ58" s="51">
        <v>4</v>
      </c>
      <c r="BK58" s="60">
        <f t="shared" si="56"/>
        <v>0</v>
      </c>
      <c r="BL58" s="106">
        <f t="shared" si="50"/>
        <v>0</v>
      </c>
      <c r="BM58" s="15"/>
      <c r="BN58" s="59"/>
      <c r="BO58" s="91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</row>
    <row r="59" spans="1:208" ht="12.75">
      <c r="A59" s="15"/>
      <c r="B59" s="15"/>
      <c r="C59" s="15"/>
      <c r="D59" s="15"/>
      <c r="E59" s="15"/>
      <c r="F59" s="15">
        <f t="shared" si="52"/>
        <v>54</v>
      </c>
      <c r="G59" s="15">
        <f t="shared" si="90"/>
        <v>0.9179999999999999</v>
      </c>
      <c r="H59" s="88">
        <v>1</v>
      </c>
      <c r="I59" s="15">
        <f t="shared" si="0"/>
        <v>-12</v>
      </c>
      <c r="J59" s="15">
        <f t="shared" si="106"/>
        <v>35.006724</v>
      </c>
      <c r="K59" s="15">
        <f t="shared" si="107"/>
        <v>1.9932646587947136</v>
      </c>
      <c r="L59" s="15">
        <f t="shared" si="94"/>
        <v>6.9966323293973565</v>
      </c>
      <c r="M59" s="15">
        <f t="shared" si="108"/>
        <v>0.9179999999999999</v>
      </c>
      <c r="N59" s="15">
        <f t="shared" si="109"/>
        <v>1.488704152955348</v>
      </c>
      <c r="O59" s="15">
        <f t="shared" si="63"/>
        <v>0.7034901509723823</v>
      </c>
      <c r="P59" s="15">
        <f t="shared" si="95"/>
        <v>5.507999999999999</v>
      </c>
      <c r="Q59" s="15">
        <f t="shared" si="96"/>
        <v>0</v>
      </c>
      <c r="R59" s="15">
        <f t="shared" si="64"/>
        <v>0</v>
      </c>
      <c r="S59" s="110">
        <f t="shared" si="97"/>
        <v>6.211490150972382</v>
      </c>
      <c r="T59" s="111">
        <f t="shared" si="53"/>
        <v>0.918</v>
      </c>
      <c r="U59" s="112">
        <f t="shared" si="98"/>
        <v>6.211490150972382</v>
      </c>
      <c r="V59" s="15"/>
      <c r="W59" s="88">
        <f t="shared" si="43"/>
        <v>10.368000000000006</v>
      </c>
      <c r="X59" s="88">
        <f t="shared" si="44"/>
        <v>90.36800000000001</v>
      </c>
      <c r="Y59" s="56">
        <f t="shared" si="45"/>
        <v>-0.040481303121605805</v>
      </c>
      <c r="Z59" s="56">
        <f t="shared" si="65"/>
        <v>-0.040481303121605805</v>
      </c>
      <c r="AA59" s="15">
        <f t="shared" si="9"/>
        <v>1.0000510204081632</v>
      </c>
      <c r="AB59" s="15">
        <f t="shared" si="66"/>
        <v>-11.985135981383976</v>
      </c>
      <c r="AC59" s="15">
        <f t="shared" si="99"/>
        <v>36.08260134214564</v>
      </c>
      <c r="AD59" s="15">
        <f t="shared" si="100"/>
        <v>0</v>
      </c>
      <c r="AE59" s="15">
        <f t="shared" si="101"/>
        <v>5.992262263025508</v>
      </c>
      <c r="AF59" s="15">
        <f t="shared" si="67"/>
        <v>-0.08328317642893071</v>
      </c>
      <c r="AG59" s="15">
        <f t="shared" si="68"/>
        <v>1.5707963267948966</v>
      </c>
      <c r="AH59" s="56">
        <f t="shared" si="69"/>
        <v>-0.08333844597874851</v>
      </c>
      <c r="AI59" s="15">
        <f t="shared" si="70"/>
        <v>0.7853981633974483</v>
      </c>
      <c r="AJ59" s="15">
        <f t="shared" si="71"/>
        <v>0</v>
      </c>
      <c r="AK59" s="57">
        <f t="shared" si="72"/>
        <v>0</v>
      </c>
      <c r="AL59" s="57">
        <f t="shared" si="102"/>
        <v>0</v>
      </c>
      <c r="AM59" s="58">
        <f t="shared" si="103"/>
        <v>-243.66738243702568</v>
      </c>
      <c r="AN59" s="59">
        <f t="shared" si="104"/>
        <v>0</v>
      </c>
      <c r="AO59" s="60">
        <f t="shared" si="105"/>
        <v>-249.66738243702568</v>
      </c>
      <c r="AP59" s="59">
        <f t="shared" si="73"/>
        <v>0</v>
      </c>
      <c r="AQ59" s="59">
        <f t="shared" si="74"/>
        <v>0</v>
      </c>
      <c r="AR59" s="61">
        <f t="shared" si="75"/>
        <v>0</v>
      </c>
      <c r="AS59" s="59">
        <f t="shared" si="76"/>
        <v>0</v>
      </c>
      <c r="AT59" s="60">
        <f t="shared" si="77"/>
        <v>-243.66738243702568</v>
      </c>
      <c r="AU59" s="59">
        <f t="shared" si="54"/>
        <v>0</v>
      </c>
      <c r="AV59" s="60">
        <f t="shared" si="78"/>
        <v>-243.66738243702568</v>
      </c>
      <c r="AW59" s="59">
        <f t="shared" si="79"/>
        <v>0</v>
      </c>
      <c r="AX59" s="59">
        <f t="shared" si="80"/>
        <v>0</v>
      </c>
      <c r="AY59" s="59">
        <f t="shared" si="81"/>
        <v>0</v>
      </c>
      <c r="AZ59" s="59">
        <f t="shared" si="82"/>
        <v>0</v>
      </c>
      <c r="BA59" s="59">
        <f t="shared" si="83"/>
        <v>0</v>
      </c>
      <c r="BB59" s="60" t="b">
        <f t="shared" si="84"/>
        <v>0</v>
      </c>
      <c r="BC59" s="60" t="b">
        <f t="shared" si="85"/>
        <v>0</v>
      </c>
      <c r="BD59" s="15" t="b">
        <f t="shared" si="86"/>
        <v>0</v>
      </c>
      <c r="BE59" s="15">
        <f t="shared" si="87"/>
        <v>-0.08328317642893071</v>
      </c>
      <c r="BF59" s="103">
        <f t="shared" si="88"/>
        <v>0</v>
      </c>
      <c r="BG59" s="103">
        <f t="shared" si="49"/>
        <v>0</v>
      </c>
      <c r="BH59" s="104">
        <f t="shared" si="55"/>
        <v>54</v>
      </c>
      <c r="BI59" s="105">
        <f t="shared" si="89"/>
        <v>0</v>
      </c>
      <c r="BJ59" s="51">
        <v>2</v>
      </c>
      <c r="BK59" s="60">
        <f t="shared" si="56"/>
        <v>0</v>
      </c>
      <c r="BL59" s="106">
        <f t="shared" si="50"/>
        <v>0</v>
      </c>
      <c r="BM59" s="15"/>
      <c r="BN59" s="59"/>
      <c r="BO59" s="91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</row>
    <row r="60" spans="1:208" ht="12.75">
      <c r="A60" s="15"/>
      <c r="B60" s="15"/>
      <c r="C60" s="15"/>
      <c r="D60" s="15"/>
      <c r="E60" s="15"/>
      <c r="F60" s="15">
        <f t="shared" si="52"/>
        <v>55</v>
      </c>
      <c r="G60" s="15">
        <f t="shared" si="90"/>
        <v>0.935</v>
      </c>
      <c r="H60" s="88">
        <v>1</v>
      </c>
      <c r="I60" s="15">
        <f t="shared" si="0"/>
        <v>-12</v>
      </c>
      <c r="J60" s="15">
        <f t="shared" si="106"/>
        <v>35.004225000000005</v>
      </c>
      <c r="K60" s="15">
        <f t="shared" si="107"/>
        <v>1.9957705278914155</v>
      </c>
      <c r="L60" s="15">
        <f t="shared" si="94"/>
        <v>6.997885263945708</v>
      </c>
      <c r="M60" s="15">
        <f t="shared" si="108"/>
        <v>0.935</v>
      </c>
      <c r="N60" s="15">
        <f t="shared" si="109"/>
        <v>1.5057504687202856</v>
      </c>
      <c r="O60" s="15">
        <f t="shared" si="63"/>
        <v>0.7204439632819073</v>
      </c>
      <c r="P60" s="15">
        <f t="shared" si="95"/>
        <v>5.61</v>
      </c>
      <c r="Q60" s="15">
        <f t="shared" si="96"/>
        <v>0</v>
      </c>
      <c r="R60" s="15">
        <f t="shared" si="64"/>
        <v>0</v>
      </c>
      <c r="S60" s="110">
        <f t="shared" si="97"/>
        <v>6.330443963281907</v>
      </c>
      <c r="T60" s="111">
        <f t="shared" si="53"/>
        <v>0.935</v>
      </c>
      <c r="U60" s="112">
        <f t="shared" si="98"/>
        <v>6.330443963281907</v>
      </c>
      <c r="V60" s="15"/>
      <c r="W60" s="88">
        <f t="shared" si="43"/>
        <v>10.560000000000006</v>
      </c>
      <c r="X60" s="88">
        <f t="shared" si="44"/>
        <v>90.56</v>
      </c>
      <c r="Y60" s="56">
        <f t="shared" si="45"/>
        <v>-0.04260349657615148</v>
      </c>
      <c r="Z60" s="56">
        <f t="shared" si="65"/>
        <v>-0.04260349657615148</v>
      </c>
      <c r="AA60" s="15">
        <f t="shared" si="9"/>
        <v>1.0000510204081632</v>
      </c>
      <c r="AB60" s="15">
        <f t="shared" si="66"/>
        <v>-11.985105664334627</v>
      </c>
      <c r="AC60" s="15">
        <f t="shared" si="99"/>
        <v>36.08702205107282</v>
      </c>
      <c r="AD60" s="15">
        <f t="shared" si="100"/>
        <v>0</v>
      </c>
      <c r="AE60" s="15">
        <f t="shared" si="101"/>
        <v>5.9922471052741875</v>
      </c>
      <c r="AF60" s="15">
        <f t="shared" si="67"/>
        <v>-0.08540526161382408</v>
      </c>
      <c r="AG60" s="15">
        <f t="shared" si="68"/>
        <v>1.5707963267948966</v>
      </c>
      <c r="AH60" s="56">
        <f t="shared" si="69"/>
        <v>-0.08546063943329418</v>
      </c>
      <c r="AI60" s="15">
        <f t="shared" si="70"/>
        <v>0.7853981633974483</v>
      </c>
      <c r="AJ60" s="15">
        <f t="shared" si="71"/>
        <v>0</v>
      </c>
      <c r="AK60" s="57">
        <f t="shared" si="72"/>
        <v>0</v>
      </c>
      <c r="AL60" s="57">
        <f t="shared" si="102"/>
        <v>0</v>
      </c>
      <c r="AM60" s="58">
        <f t="shared" si="103"/>
        <v>-243.96448952066206</v>
      </c>
      <c r="AN60" s="59">
        <f t="shared" si="104"/>
        <v>0</v>
      </c>
      <c r="AO60" s="60">
        <f t="shared" si="105"/>
        <v>-249.96448952066206</v>
      </c>
      <c r="AP60" s="59">
        <f t="shared" si="73"/>
        <v>0</v>
      </c>
      <c r="AQ60" s="59">
        <f t="shared" si="74"/>
        <v>0</v>
      </c>
      <c r="AR60" s="61">
        <f t="shared" si="75"/>
        <v>0</v>
      </c>
      <c r="AS60" s="59">
        <f t="shared" si="76"/>
        <v>0</v>
      </c>
      <c r="AT60" s="60">
        <f t="shared" si="77"/>
        <v>-243.96448952066206</v>
      </c>
      <c r="AU60" s="59">
        <f t="shared" si="54"/>
        <v>0</v>
      </c>
      <c r="AV60" s="60">
        <f t="shared" si="78"/>
        <v>-243.96448952066206</v>
      </c>
      <c r="AW60" s="59">
        <f t="shared" si="79"/>
        <v>0</v>
      </c>
      <c r="AX60" s="59">
        <f t="shared" si="80"/>
        <v>0</v>
      </c>
      <c r="AY60" s="59">
        <f t="shared" si="81"/>
        <v>0</v>
      </c>
      <c r="AZ60" s="59">
        <f t="shared" si="82"/>
        <v>0</v>
      </c>
      <c r="BA60" s="59">
        <f t="shared" si="83"/>
        <v>0</v>
      </c>
      <c r="BB60" s="60" t="b">
        <f t="shared" si="84"/>
        <v>0</v>
      </c>
      <c r="BC60" s="60" t="b">
        <f t="shared" si="85"/>
        <v>0</v>
      </c>
      <c r="BD60" s="15" t="b">
        <f t="shared" si="86"/>
        <v>0</v>
      </c>
      <c r="BE60" s="15">
        <f t="shared" si="87"/>
        <v>-0.08540526161382408</v>
      </c>
      <c r="BF60" s="103">
        <f t="shared" si="88"/>
        <v>0</v>
      </c>
      <c r="BG60" s="103">
        <f t="shared" si="49"/>
        <v>0</v>
      </c>
      <c r="BH60" s="104">
        <f t="shared" si="55"/>
        <v>55</v>
      </c>
      <c r="BI60" s="105">
        <f t="shared" si="89"/>
        <v>0</v>
      </c>
      <c r="BJ60" s="51">
        <v>4</v>
      </c>
      <c r="BK60" s="60">
        <f t="shared" si="56"/>
        <v>0</v>
      </c>
      <c r="BL60" s="106">
        <f t="shared" si="50"/>
        <v>0</v>
      </c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</row>
    <row r="61" spans="1:208" ht="12.75">
      <c r="A61" s="15"/>
      <c r="B61" s="15"/>
      <c r="C61" s="15"/>
      <c r="D61" s="15"/>
      <c r="E61" s="15"/>
      <c r="F61" s="15">
        <f t="shared" si="52"/>
        <v>56</v>
      </c>
      <c r="G61" s="15">
        <f t="shared" si="90"/>
        <v>0.9520000000000001</v>
      </c>
      <c r="H61" s="88">
        <v>1</v>
      </c>
      <c r="I61" s="15">
        <f t="shared" si="0"/>
        <v>-12</v>
      </c>
      <c r="J61" s="15">
        <f t="shared" si="106"/>
        <v>35.002303999999995</v>
      </c>
      <c r="K61" s="15">
        <f t="shared" si="107"/>
        <v>1.997694671364976</v>
      </c>
      <c r="L61" s="15">
        <f t="shared" si="94"/>
        <v>6.998847335682488</v>
      </c>
      <c r="M61" s="15">
        <f t="shared" si="108"/>
        <v>0.9520000000000001</v>
      </c>
      <c r="N61" s="15">
        <f t="shared" si="109"/>
        <v>1.5227778756583494</v>
      </c>
      <c r="O61" s="15">
        <f t="shared" si="63"/>
        <v>0.7374166017727951</v>
      </c>
      <c r="P61" s="15">
        <f t="shared" si="95"/>
        <v>5.712000000000001</v>
      </c>
      <c r="Q61" s="15">
        <f t="shared" si="96"/>
        <v>0</v>
      </c>
      <c r="R61" s="15">
        <f t="shared" si="64"/>
        <v>0</v>
      </c>
      <c r="S61" s="110">
        <f t="shared" si="97"/>
        <v>6.449416601772795</v>
      </c>
      <c r="T61" s="111">
        <f t="shared" si="53"/>
        <v>0.952</v>
      </c>
      <c r="U61" s="112">
        <f t="shared" si="98"/>
        <v>6.449416601772795</v>
      </c>
      <c r="V61" s="15"/>
      <c r="W61" s="88">
        <f t="shared" si="43"/>
        <v>10.752000000000006</v>
      </c>
      <c r="X61" s="88">
        <f t="shared" si="44"/>
        <v>90.75200000000001</v>
      </c>
      <c r="Y61" s="56">
        <f t="shared" si="45"/>
        <v>-0.044730564609209544</v>
      </c>
      <c r="Z61" s="56">
        <f t="shared" si="65"/>
        <v>-0.044730564609209544</v>
      </c>
      <c r="AA61" s="15">
        <f t="shared" si="9"/>
        <v>1.0000510204081632</v>
      </c>
      <c r="AB61" s="15">
        <f t="shared" si="66"/>
        <v>-11.98507527764844</v>
      </c>
      <c r="AC61" s="15">
        <f t="shared" si="99"/>
        <v>36.09146195262868</v>
      </c>
      <c r="AD61" s="15">
        <f t="shared" si="100"/>
        <v>0</v>
      </c>
      <c r="AE61" s="15">
        <f t="shared" si="101"/>
        <v>5.992231912706225</v>
      </c>
      <c r="AF61" s="15">
        <f t="shared" si="67"/>
        <v>-0.08753222112853956</v>
      </c>
      <c r="AG61" s="15">
        <f t="shared" si="68"/>
        <v>1.5707963267948966</v>
      </c>
      <c r="AH61" s="56">
        <f t="shared" si="69"/>
        <v>-0.08758770746635225</v>
      </c>
      <c r="AI61" s="15">
        <f t="shared" si="70"/>
        <v>0.7853981633974483</v>
      </c>
      <c r="AJ61" s="15">
        <f t="shared" si="71"/>
        <v>0</v>
      </c>
      <c r="AK61" s="57">
        <f t="shared" si="72"/>
        <v>0</v>
      </c>
      <c r="AL61" s="57">
        <f t="shared" si="102"/>
        <v>0</v>
      </c>
      <c r="AM61" s="58">
        <f t="shared" si="103"/>
        <v>-244.2622790452902</v>
      </c>
      <c r="AN61" s="59">
        <f t="shared" si="104"/>
        <v>0</v>
      </c>
      <c r="AO61" s="60">
        <f t="shared" si="105"/>
        <v>-250.2622790452902</v>
      </c>
      <c r="AP61" s="59">
        <f t="shared" si="73"/>
        <v>0</v>
      </c>
      <c r="AQ61" s="59">
        <f t="shared" si="74"/>
        <v>0</v>
      </c>
      <c r="AR61" s="61">
        <f t="shared" si="75"/>
        <v>0</v>
      </c>
      <c r="AS61" s="59">
        <f t="shared" si="76"/>
        <v>0</v>
      </c>
      <c r="AT61" s="60">
        <f t="shared" si="77"/>
        <v>-244.2622790452902</v>
      </c>
      <c r="AU61" s="59">
        <f t="shared" si="54"/>
        <v>0</v>
      </c>
      <c r="AV61" s="60">
        <f t="shared" si="78"/>
        <v>-244.2622790452902</v>
      </c>
      <c r="AW61" s="59">
        <f t="shared" si="79"/>
        <v>0</v>
      </c>
      <c r="AX61" s="59">
        <f t="shared" si="80"/>
        <v>0</v>
      </c>
      <c r="AY61" s="59">
        <f t="shared" si="81"/>
        <v>0</v>
      </c>
      <c r="AZ61" s="59">
        <f t="shared" si="82"/>
        <v>0</v>
      </c>
      <c r="BA61" s="59">
        <f t="shared" si="83"/>
        <v>0</v>
      </c>
      <c r="BB61" s="60" t="b">
        <f t="shared" si="84"/>
        <v>0</v>
      </c>
      <c r="BC61" s="60" t="b">
        <f t="shared" si="85"/>
        <v>0</v>
      </c>
      <c r="BD61" s="15" t="b">
        <f t="shared" si="86"/>
        <v>0</v>
      </c>
      <c r="BE61" s="15">
        <f t="shared" si="87"/>
        <v>-0.08753222112853956</v>
      </c>
      <c r="BF61" s="103">
        <f t="shared" si="88"/>
        <v>0</v>
      </c>
      <c r="BG61" s="103">
        <f t="shared" si="49"/>
        <v>0</v>
      </c>
      <c r="BH61" s="104">
        <f t="shared" si="55"/>
        <v>56</v>
      </c>
      <c r="BI61" s="105">
        <f t="shared" si="89"/>
        <v>0</v>
      </c>
      <c r="BJ61" s="51">
        <v>2</v>
      </c>
      <c r="BK61" s="60">
        <f t="shared" si="56"/>
        <v>0</v>
      </c>
      <c r="BL61" s="106">
        <f t="shared" si="50"/>
        <v>0</v>
      </c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</row>
    <row r="62" spans="1:208" ht="12.75">
      <c r="A62" s="15"/>
      <c r="B62" s="15"/>
      <c r="C62" s="15"/>
      <c r="D62" s="15"/>
      <c r="E62" s="15"/>
      <c r="F62" s="15">
        <f t="shared" si="52"/>
        <v>57</v>
      </c>
      <c r="G62" s="15">
        <f t="shared" si="90"/>
        <v>0.9689999999999999</v>
      </c>
      <c r="H62" s="88">
        <v>1</v>
      </c>
      <c r="I62" s="15">
        <f t="shared" si="0"/>
        <v>-12</v>
      </c>
      <c r="J62" s="15">
        <f t="shared" si="106"/>
        <v>35.000961</v>
      </c>
      <c r="K62" s="15">
        <f t="shared" si="107"/>
        <v>1.9990387690087488</v>
      </c>
      <c r="L62" s="15">
        <f t="shared" si="94"/>
        <v>6.999519384504374</v>
      </c>
      <c r="M62" s="15">
        <f t="shared" si="108"/>
        <v>0.9689999999999999</v>
      </c>
      <c r="N62" s="15">
        <f t="shared" si="109"/>
        <v>1.5397913594798145</v>
      </c>
      <c r="O62" s="15">
        <f t="shared" si="63"/>
        <v>0.7544031292800893</v>
      </c>
      <c r="P62" s="15">
        <f t="shared" si="95"/>
        <v>5.813999999999999</v>
      </c>
      <c r="Q62" s="15">
        <f t="shared" si="96"/>
        <v>0</v>
      </c>
      <c r="R62" s="15">
        <f t="shared" si="64"/>
        <v>0</v>
      </c>
      <c r="S62" s="110">
        <f t="shared" si="97"/>
        <v>6.568403129280089</v>
      </c>
      <c r="T62" s="111">
        <f t="shared" si="53"/>
        <v>0.969</v>
      </c>
      <c r="U62" s="112">
        <f t="shared" si="98"/>
        <v>6.568403129280089</v>
      </c>
      <c r="V62" s="15"/>
      <c r="W62" s="88">
        <f t="shared" si="43"/>
        <v>10.944000000000006</v>
      </c>
      <c r="X62" s="88">
        <f t="shared" si="44"/>
        <v>90.944</v>
      </c>
      <c r="Y62" s="56">
        <f t="shared" si="45"/>
        <v>-0.046862507220779115</v>
      </c>
      <c r="Z62" s="56">
        <f t="shared" si="65"/>
        <v>-0.046862507220779115</v>
      </c>
      <c r="AA62" s="15">
        <f t="shared" si="9"/>
        <v>1.0000510204081632</v>
      </c>
      <c r="AB62" s="15">
        <f t="shared" si="66"/>
        <v>-11.985044821325417</v>
      </c>
      <c r="AC62" s="15">
        <f t="shared" si="99"/>
        <v>36.09592110902458</v>
      </c>
      <c r="AD62" s="15">
        <f t="shared" si="100"/>
        <v>0</v>
      </c>
      <c r="AE62" s="15">
        <f t="shared" si="101"/>
        <v>5.992216685321621</v>
      </c>
      <c r="AF62" s="15">
        <f t="shared" si="67"/>
        <v>-0.08966405497307625</v>
      </c>
      <c r="AG62" s="15">
        <f t="shared" si="68"/>
        <v>1.5707963267948966</v>
      </c>
      <c r="AH62" s="56">
        <f t="shared" si="69"/>
        <v>-0.08971965007792182</v>
      </c>
      <c r="AI62" s="15">
        <f t="shared" si="70"/>
        <v>0.7853981633974483</v>
      </c>
      <c r="AJ62" s="15">
        <f t="shared" si="71"/>
        <v>0</v>
      </c>
      <c r="AK62" s="57">
        <f t="shared" si="72"/>
        <v>0</v>
      </c>
      <c r="AL62" s="57">
        <f t="shared" si="102"/>
        <v>0</v>
      </c>
      <c r="AM62" s="58">
        <f t="shared" si="103"/>
        <v>-244.56075101090994</v>
      </c>
      <c r="AN62" s="59">
        <f t="shared" si="104"/>
        <v>0</v>
      </c>
      <c r="AO62" s="60">
        <f t="shared" si="105"/>
        <v>-250.56075101090994</v>
      </c>
      <c r="AP62" s="59">
        <f t="shared" si="73"/>
        <v>0</v>
      </c>
      <c r="AQ62" s="59">
        <f t="shared" si="74"/>
        <v>0</v>
      </c>
      <c r="AR62" s="61">
        <f t="shared" si="75"/>
        <v>0</v>
      </c>
      <c r="AS62" s="59">
        <f t="shared" si="76"/>
        <v>0</v>
      </c>
      <c r="AT62" s="60">
        <f t="shared" si="77"/>
        <v>-244.56075101090994</v>
      </c>
      <c r="AU62" s="59">
        <f t="shared" si="54"/>
        <v>0</v>
      </c>
      <c r="AV62" s="60">
        <f t="shared" si="78"/>
        <v>-244.56075101090994</v>
      </c>
      <c r="AW62" s="59">
        <f t="shared" si="79"/>
        <v>0</v>
      </c>
      <c r="AX62" s="59">
        <f t="shared" si="80"/>
        <v>0</v>
      </c>
      <c r="AY62" s="59">
        <f t="shared" si="81"/>
        <v>0</v>
      </c>
      <c r="AZ62" s="59">
        <f t="shared" si="82"/>
        <v>0</v>
      </c>
      <c r="BA62" s="59">
        <f t="shared" si="83"/>
        <v>0</v>
      </c>
      <c r="BB62" s="60" t="b">
        <f t="shared" si="84"/>
        <v>0</v>
      </c>
      <c r="BC62" s="60" t="b">
        <f t="shared" si="85"/>
        <v>0</v>
      </c>
      <c r="BD62" s="15" t="b">
        <f t="shared" si="86"/>
        <v>0</v>
      </c>
      <c r="BE62" s="15">
        <f t="shared" si="87"/>
        <v>-0.08966405497307625</v>
      </c>
      <c r="BF62" s="103">
        <f t="shared" si="88"/>
        <v>0</v>
      </c>
      <c r="BG62" s="103">
        <f t="shared" si="49"/>
        <v>0</v>
      </c>
      <c r="BH62" s="104">
        <f t="shared" si="55"/>
        <v>57</v>
      </c>
      <c r="BI62" s="105">
        <f t="shared" si="89"/>
        <v>0</v>
      </c>
      <c r="BJ62" s="51">
        <v>4</v>
      </c>
      <c r="BK62" s="60">
        <f t="shared" si="56"/>
        <v>0</v>
      </c>
      <c r="BL62" s="106">
        <f t="shared" si="50"/>
        <v>0</v>
      </c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</row>
    <row r="63" spans="1:208" ht="12.75">
      <c r="A63" s="15"/>
      <c r="B63" s="15"/>
      <c r="C63" s="15"/>
      <c r="D63" s="15"/>
      <c r="E63" s="15"/>
      <c r="F63" s="15">
        <f t="shared" si="52"/>
        <v>58</v>
      </c>
      <c r="G63" s="15">
        <f t="shared" si="90"/>
        <v>0.986</v>
      </c>
      <c r="H63" s="88">
        <v>1</v>
      </c>
      <c r="I63" s="15">
        <f t="shared" si="0"/>
        <v>-12</v>
      </c>
      <c r="J63" s="15">
        <f t="shared" si="106"/>
        <v>35.000195999999995</v>
      </c>
      <c r="K63" s="15">
        <f t="shared" si="107"/>
        <v>1.9998039903950633</v>
      </c>
      <c r="L63" s="15">
        <f t="shared" si="94"/>
        <v>6.999901995197532</v>
      </c>
      <c r="M63" s="15">
        <f t="shared" si="108"/>
        <v>0.986</v>
      </c>
      <c r="N63" s="15">
        <f t="shared" si="109"/>
        <v>1.5567958694212216</v>
      </c>
      <c r="O63" s="15">
        <f t="shared" si="63"/>
        <v>0.7713986207442282</v>
      </c>
      <c r="P63" s="15">
        <f t="shared" si="95"/>
        <v>5.916</v>
      </c>
      <c r="Q63" s="15">
        <f t="shared" si="96"/>
        <v>0</v>
      </c>
      <c r="R63" s="15">
        <f t="shared" si="64"/>
        <v>0</v>
      </c>
      <c r="S63" s="110">
        <f t="shared" si="97"/>
        <v>6.687398620744228</v>
      </c>
      <c r="T63" s="111">
        <f t="shared" si="53"/>
        <v>0.986</v>
      </c>
      <c r="U63" s="112">
        <f t="shared" si="98"/>
        <v>6.687398620744228</v>
      </c>
      <c r="V63" s="15"/>
      <c r="W63" s="88">
        <f t="shared" si="43"/>
        <v>11.136000000000006</v>
      </c>
      <c r="X63" s="88">
        <f t="shared" si="44"/>
        <v>91.13600000000001</v>
      </c>
      <c r="Y63" s="56">
        <f t="shared" si="45"/>
        <v>-0.048999324410861966</v>
      </c>
      <c r="Z63" s="56">
        <f t="shared" si="65"/>
        <v>-0.048999324410861966</v>
      </c>
      <c r="AA63" s="15">
        <f t="shared" si="9"/>
        <v>1.0000510204081632</v>
      </c>
      <c r="AB63" s="15">
        <f t="shared" si="66"/>
        <v>-11.98501429536556</v>
      </c>
      <c r="AC63" s="15">
        <f t="shared" si="99"/>
        <v>36.10039958261444</v>
      </c>
      <c r="AD63" s="15">
        <f t="shared" si="100"/>
        <v>0</v>
      </c>
      <c r="AE63" s="15">
        <f t="shared" si="101"/>
        <v>5.992201423120376</v>
      </c>
      <c r="AF63" s="15">
        <f t="shared" si="67"/>
        <v>-0.09180076314743593</v>
      </c>
      <c r="AG63" s="15">
        <f t="shared" si="68"/>
        <v>1.5707963267948966</v>
      </c>
      <c r="AH63" s="56">
        <f t="shared" si="69"/>
        <v>-0.09185646726800467</v>
      </c>
      <c r="AI63" s="15">
        <f t="shared" si="70"/>
        <v>0.7853981633974483</v>
      </c>
      <c r="AJ63" s="15">
        <f t="shared" si="71"/>
        <v>0</v>
      </c>
      <c r="AK63" s="57">
        <f t="shared" si="72"/>
        <v>0</v>
      </c>
      <c r="AL63" s="57">
        <f t="shared" si="102"/>
        <v>0</v>
      </c>
      <c r="AM63" s="58">
        <f t="shared" si="103"/>
        <v>-244.85990541752153</v>
      </c>
      <c r="AN63" s="59">
        <f t="shared" si="104"/>
        <v>0</v>
      </c>
      <c r="AO63" s="60">
        <f t="shared" si="105"/>
        <v>-250.85990541752153</v>
      </c>
      <c r="AP63" s="59">
        <f t="shared" si="73"/>
        <v>0</v>
      </c>
      <c r="AQ63" s="59">
        <f t="shared" si="74"/>
        <v>0</v>
      </c>
      <c r="AR63" s="61">
        <f t="shared" si="75"/>
        <v>0</v>
      </c>
      <c r="AS63" s="59">
        <f t="shared" si="76"/>
        <v>0</v>
      </c>
      <c r="AT63" s="60">
        <f t="shared" si="77"/>
        <v>-244.85990541752153</v>
      </c>
      <c r="AU63" s="59">
        <f t="shared" si="54"/>
        <v>0</v>
      </c>
      <c r="AV63" s="60">
        <f t="shared" si="78"/>
        <v>-244.85990541752153</v>
      </c>
      <c r="AW63" s="59">
        <f t="shared" si="79"/>
        <v>0</v>
      </c>
      <c r="AX63" s="59">
        <f t="shared" si="80"/>
        <v>0</v>
      </c>
      <c r="AY63" s="59">
        <f t="shared" si="81"/>
        <v>0</v>
      </c>
      <c r="AZ63" s="59">
        <f t="shared" si="82"/>
        <v>0</v>
      </c>
      <c r="BA63" s="59">
        <f t="shared" si="83"/>
        <v>0</v>
      </c>
      <c r="BB63" s="60" t="b">
        <f t="shared" si="84"/>
        <v>0</v>
      </c>
      <c r="BC63" s="60" t="b">
        <f t="shared" si="85"/>
        <v>0</v>
      </c>
      <c r="BD63" s="15" t="b">
        <f t="shared" si="86"/>
        <v>0</v>
      </c>
      <c r="BE63" s="15">
        <f t="shared" si="87"/>
        <v>-0.09180076314743593</v>
      </c>
      <c r="BF63" s="103">
        <f t="shared" si="88"/>
        <v>0</v>
      </c>
      <c r="BG63" s="103">
        <f t="shared" si="49"/>
        <v>0</v>
      </c>
      <c r="BH63" s="104">
        <f t="shared" si="55"/>
        <v>58</v>
      </c>
      <c r="BI63" s="105">
        <f t="shared" si="89"/>
        <v>0</v>
      </c>
      <c r="BJ63" s="51">
        <v>2</v>
      </c>
      <c r="BK63" s="60">
        <f t="shared" si="56"/>
        <v>0</v>
      </c>
      <c r="BL63" s="106">
        <f t="shared" si="50"/>
        <v>0</v>
      </c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</row>
    <row r="64" spans="1:208" ht="12.75">
      <c r="A64" s="15"/>
      <c r="B64" s="15"/>
      <c r="C64" s="15"/>
      <c r="D64" s="15"/>
      <c r="E64" s="15"/>
      <c r="F64" s="15">
        <f t="shared" si="52"/>
        <v>59</v>
      </c>
      <c r="G64" s="15">
        <f t="shared" si="90"/>
        <v>1.003</v>
      </c>
      <c r="H64" s="88">
        <v>1</v>
      </c>
      <c r="I64" s="15">
        <f t="shared" si="0"/>
        <v>-12</v>
      </c>
      <c r="J64" s="15">
        <f t="shared" si="106"/>
        <v>35.000009</v>
      </c>
      <c r="K64" s="15">
        <f t="shared" si="107"/>
        <v>1.9999909999797514</v>
      </c>
      <c r="L64" s="15">
        <f t="shared" si="94"/>
        <v>7</v>
      </c>
      <c r="M64" s="15">
        <f t="shared" si="108"/>
        <v>1.003</v>
      </c>
      <c r="N64" s="15">
        <f t="shared" si="109"/>
        <v>1.5737963312949146</v>
      </c>
      <c r="O64" s="15">
        <f t="shared" si="63"/>
        <v>0.7853981633974483</v>
      </c>
      <c r="P64" s="15">
        <f t="shared" si="95"/>
        <v>6.017999999999999</v>
      </c>
      <c r="Q64" s="15">
        <f t="shared" si="96"/>
        <v>0</v>
      </c>
      <c r="R64" s="15">
        <f t="shared" si="64"/>
        <v>0.0029999999999998916</v>
      </c>
      <c r="S64" s="110">
        <f t="shared" si="97"/>
        <v>6.806398163397447</v>
      </c>
      <c r="T64" s="111">
        <f t="shared" si="53"/>
        <v>1.003</v>
      </c>
      <c r="U64" s="112">
        <f t="shared" si="98"/>
        <v>6.806398163397447</v>
      </c>
      <c r="V64" s="15"/>
      <c r="W64" s="88">
        <f t="shared" si="43"/>
        <v>11.328000000000007</v>
      </c>
      <c r="X64" s="88">
        <f t="shared" si="44"/>
        <v>91.328</v>
      </c>
      <c r="Y64" s="56">
        <f t="shared" si="45"/>
        <v>-0.05114101617945721</v>
      </c>
      <c r="Z64" s="56">
        <f t="shared" si="65"/>
        <v>-0.05114101617945721</v>
      </c>
      <c r="AA64" s="15">
        <f t="shared" si="9"/>
        <v>1.0000510204081632</v>
      </c>
      <c r="AB64" s="15">
        <f t="shared" si="66"/>
        <v>-11.984983699768865</v>
      </c>
      <c r="AC64" s="15">
        <f t="shared" si="99"/>
        <v>36.104897435894785</v>
      </c>
      <c r="AD64" s="15">
        <f t="shared" si="100"/>
        <v>0</v>
      </c>
      <c r="AE64" s="15">
        <f t="shared" si="101"/>
        <v>5.992186126102489</v>
      </c>
      <c r="AF64" s="15">
        <f t="shared" si="67"/>
        <v>-0.09394234565161769</v>
      </c>
      <c r="AG64" s="15">
        <f t="shared" si="68"/>
        <v>1.5707963267948966</v>
      </c>
      <c r="AH64" s="56">
        <f t="shared" si="69"/>
        <v>-0.09399815903659992</v>
      </c>
      <c r="AI64" s="15">
        <f t="shared" si="70"/>
        <v>0.7853981633974483</v>
      </c>
      <c r="AJ64" s="15">
        <f t="shared" si="71"/>
        <v>0</v>
      </c>
      <c r="AK64" s="57">
        <f t="shared" si="72"/>
        <v>0</v>
      </c>
      <c r="AL64" s="57">
        <f t="shared" si="102"/>
        <v>0</v>
      </c>
      <c r="AM64" s="58">
        <f t="shared" si="103"/>
        <v>-245.15974226512486</v>
      </c>
      <c r="AN64" s="59">
        <f t="shared" si="104"/>
        <v>0</v>
      </c>
      <c r="AO64" s="60">
        <f t="shared" si="105"/>
        <v>-251.15974226512486</v>
      </c>
      <c r="AP64" s="59">
        <f t="shared" si="73"/>
        <v>0</v>
      </c>
      <c r="AQ64" s="59">
        <f t="shared" si="74"/>
        <v>0</v>
      </c>
      <c r="AR64" s="61">
        <f t="shared" si="75"/>
        <v>0</v>
      </c>
      <c r="AS64" s="59">
        <f t="shared" si="76"/>
        <v>0</v>
      </c>
      <c r="AT64" s="60">
        <f t="shared" si="77"/>
        <v>-245.15974226512486</v>
      </c>
      <c r="AU64" s="59">
        <f t="shared" si="54"/>
        <v>0</v>
      </c>
      <c r="AV64" s="60">
        <f t="shared" si="78"/>
        <v>-245.15974226512486</v>
      </c>
      <c r="AW64" s="59">
        <f t="shared" si="79"/>
        <v>0</v>
      </c>
      <c r="AX64" s="59">
        <f t="shared" si="80"/>
        <v>0</v>
      </c>
      <c r="AY64" s="59">
        <f t="shared" si="81"/>
        <v>0</v>
      </c>
      <c r="AZ64" s="59">
        <f t="shared" si="82"/>
        <v>0</v>
      </c>
      <c r="BA64" s="59">
        <f t="shared" si="83"/>
        <v>0</v>
      </c>
      <c r="BB64" s="60" t="b">
        <f t="shared" si="84"/>
        <v>0</v>
      </c>
      <c r="BC64" s="60" t="b">
        <f t="shared" si="85"/>
        <v>0</v>
      </c>
      <c r="BD64" s="15" t="b">
        <f t="shared" si="86"/>
        <v>0</v>
      </c>
      <c r="BE64" s="15">
        <f t="shared" si="87"/>
        <v>-0.09394234565161769</v>
      </c>
      <c r="BF64" s="103">
        <f t="shared" si="88"/>
        <v>0</v>
      </c>
      <c r="BG64" s="103">
        <f t="shared" si="49"/>
        <v>0</v>
      </c>
      <c r="BH64" s="104">
        <f t="shared" si="55"/>
        <v>59</v>
      </c>
      <c r="BI64" s="105">
        <f t="shared" si="89"/>
        <v>0</v>
      </c>
      <c r="BJ64" s="51">
        <v>4</v>
      </c>
      <c r="BK64" s="60">
        <f t="shared" si="56"/>
        <v>0</v>
      </c>
      <c r="BL64" s="106">
        <f t="shared" si="50"/>
        <v>0</v>
      </c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</row>
    <row r="65" spans="1:208" ht="12.75">
      <c r="A65" s="15"/>
      <c r="B65" s="15"/>
      <c r="C65" s="15"/>
      <c r="D65" s="15"/>
      <c r="E65" s="15"/>
      <c r="F65" s="15">
        <f t="shared" si="52"/>
        <v>60</v>
      </c>
      <c r="G65" s="15">
        <f t="shared" si="90"/>
        <v>1.02</v>
      </c>
      <c r="H65" s="88">
        <v>1</v>
      </c>
      <c r="I65" s="15">
        <f t="shared" si="0"/>
        <v>-12</v>
      </c>
      <c r="J65" s="15">
        <f t="shared" si="106"/>
        <v>35.0004</v>
      </c>
      <c r="K65" s="15">
        <f t="shared" si="107"/>
        <v>1.999599959991999</v>
      </c>
      <c r="L65" s="15">
        <f t="shared" si="94"/>
        <v>7</v>
      </c>
      <c r="M65" s="15">
        <f t="shared" si="108"/>
        <v>1.02</v>
      </c>
      <c r="N65" s="15">
        <f t="shared" si="109"/>
        <v>1.590797660368287</v>
      </c>
      <c r="O65" s="15">
        <f t="shared" si="63"/>
        <v>0.7853981633974483</v>
      </c>
      <c r="P65" s="15">
        <f t="shared" si="95"/>
        <v>6.12</v>
      </c>
      <c r="Q65" s="15">
        <f t="shared" si="96"/>
        <v>0</v>
      </c>
      <c r="R65" s="15">
        <f t="shared" si="64"/>
        <v>0.020000000000000018</v>
      </c>
      <c r="S65" s="110">
        <f t="shared" si="97"/>
        <v>6.925398163397448</v>
      </c>
      <c r="T65" s="111">
        <f t="shared" si="53"/>
        <v>1.02</v>
      </c>
      <c r="U65" s="112">
        <f t="shared" si="98"/>
        <v>6.925398163397448</v>
      </c>
      <c r="V65" s="15"/>
      <c r="W65" s="88">
        <f t="shared" si="43"/>
        <v>11.520000000000007</v>
      </c>
      <c r="X65" s="88">
        <f t="shared" si="44"/>
        <v>91.52000000000001</v>
      </c>
      <c r="Y65" s="56">
        <f t="shared" si="45"/>
        <v>-0.05328758252656485</v>
      </c>
      <c r="Z65" s="56">
        <f t="shared" si="65"/>
        <v>-0.05328758252656485</v>
      </c>
      <c r="AA65" s="15">
        <f t="shared" si="9"/>
        <v>1.0000510204081632</v>
      </c>
      <c r="AB65" s="15">
        <f t="shared" si="66"/>
        <v>-11.984953034535335</v>
      </c>
      <c r="AC65" s="15">
        <f t="shared" si="99"/>
        <v>36.10941473150466</v>
      </c>
      <c r="AD65" s="15">
        <f t="shared" si="100"/>
        <v>0</v>
      </c>
      <c r="AE65" s="15">
        <f t="shared" si="101"/>
        <v>5.9921707942679605</v>
      </c>
      <c r="AF65" s="15">
        <f t="shared" si="67"/>
        <v>-0.09608880248562156</v>
      </c>
      <c r="AG65" s="15">
        <f t="shared" si="68"/>
        <v>1.5707963267948966</v>
      </c>
      <c r="AH65" s="56">
        <f t="shared" si="69"/>
        <v>-0.09614472538370755</v>
      </c>
      <c r="AI65" s="15">
        <f t="shared" si="70"/>
        <v>0.7853981633974483</v>
      </c>
      <c r="AJ65" s="15">
        <f t="shared" si="71"/>
        <v>0</v>
      </c>
      <c r="AK65" s="57">
        <f t="shared" si="72"/>
        <v>0</v>
      </c>
      <c r="AL65" s="57">
        <f t="shared" si="102"/>
        <v>0</v>
      </c>
      <c r="AM65" s="58">
        <f t="shared" si="103"/>
        <v>-245.46026155371993</v>
      </c>
      <c r="AN65" s="59">
        <f t="shared" si="104"/>
        <v>0</v>
      </c>
      <c r="AO65" s="60">
        <f t="shared" si="105"/>
        <v>-251.46026155371993</v>
      </c>
      <c r="AP65" s="59">
        <f t="shared" si="73"/>
        <v>0</v>
      </c>
      <c r="AQ65" s="59">
        <f t="shared" si="74"/>
        <v>0</v>
      </c>
      <c r="AR65" s="61">
        <f t="shared" si="75"/>
        <v>0</v>
      </c>
      <c r="AS65" s="59">
        <f t="shared" si="76"/>
        <v>0</v>
      </c>
      <c r="AT65" s="60">
        <f t="shared" si="77"/>
        <v>-245.46026155371993</v>
      </c>
      <c r="AU65" s="59">
        <f t="shared" si="54"/>
        <v>0</v>
      </c>
      <c r="AV65" s="60">
        <f t="shared" si="78"/>
        <v>-245.46026155371993</v>
      </c>
      <c r="AW65" s="59">
        <f t="shared" si="79"/>
        <v>0</v>
      </c>
      <c r="AX65" s="59">
        <f t="shared" si="80"/>
        <v>0</v>
      </c>
      <c r="AY65" s="59">
        <f t="shared" si="81"/>
        <v>0</v>
      </c>
      <c r="AZ65" s="59">
        <f t="shared" si="82"/>
        <v>0</v>
      </c>
      <c r="BA65" s="59">
        <f t="shared" si="83"/>
        <v>0</v>
      </c>
      <c r="BB65" s="60" t="b">
        <f t="shared" si="84"/>
        <v>0</v>
      </c>
      <c r="BC65" s="60" t="b">
        <f t="shared" si="85"/>
        <v>0</v>
      </c>
      <c r="BD65" s="15" t="b">
        <f t="shared" si="86"/>
        <v>0</v>
      </c>
      <c r="BE65" s="15">
        <f t="shared" si="87"/>
        <v>-0.09608880248562156</v>
      </c>
      <c r="BF65" s="103">
        <f t="shared" si="88"/>
        <v>0</v>
      </c>
      <c r="BG65" s="103">
        <f t="shared" si="49"/>
        <v>0</v>
      </c>
      <c r="BH65" s="104">
        <f t="shared" si="55"/>
        <v>60</v>
      </c>
      <c r="BI65" s="105">
        <f t="shared" si="89"/>
        <v>0</v>
      </c>
      <c r="BJ65" s="51">
        <v>2</v>
      </c>
      <c r="BK65" s="60">
        <f t="shared" si="56"/>
        <v>0</v>
      </c>
      <c r="BL65" s="106">
        <f t="shared" si="50"/>
        <v>0</v>
      </c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</row>
    <row r="66" spans="1:208" ht="12.75">
      <c r="A66" s="15"/>
      <c r="B66" s="15"/>
      <c r="C66" s="15"/>
      <c r="D66" s="15"/>
      <c r="E66" s="15"/>
      <c r="F66" s="15">
        <f t="shared" si="52"/>
        <v>61</v>
      </c>
      <c r="G66" s="15">
        <f t="shared" si="90"/>
        <v>1.037</v>
      </c>
      <c r="H66" s="88">
        <v>1</v>
      </c>
      <c r="I66" s="15">
        <f t="shared" si="0"/>
        <v>-12</v>
      </c>
      <c r="J66" s="15">
        <f t="shared" si="106"/>
        <v>35.001369000000004</v>
      </c>
      <c r="K66" s="15">
        <f t="shared" si="107"/>
        <v>1.9986305311387556</v>
      </c>
      <c r="L66" s="15">
        <f t="shared" si="94"/>
        <v>7</v>
      </c>
      <c r="M66" s="15">
        <f t="shared" si="108"/>
        <v>1.037</v>
      </c>
      <c r="N66" s="15">
        <f t="shared" si="109"/>
        <v>1.607804774166602</v>
      </c>
      <c r="O66" s="15">
        <f t="shared" si="63"/>
        <v>0.7853981633974483</v>
      </c>
      <c r="P66" s="15">
        <f t="shared" si="95"/>
        <v>6.2219999999999995</v>
      </c>
      <c r="Q66" s="15">
        <f t="shared" si="96"/>
        <v>0</v>
      </c>
      <c r="R66" s="15">
        <f t="shared" si="64"/>
        <v>0.03699999999999992</v>
      </c>
      <c r="S66" s="110">
        <f t="shared" si="97"/>
        <v>7.044398163397448</v>
      </c>
      <c r="T66" s="111">
        <f t="shared" si="53"/>
        <v>1.037</v>
      </c>
      <c r="U66" s="112">
        <f t="shared" si="98"/>
        <v>7.044398163397448</v>
      </c>
      <c r="V66" s="15"/>
      <c r="W66" s="88">
        <f t="shared" si="43"/>
        <v>11.712000000000007</v>
      </c>
      <c r="X66" s="88">
        <f t="shared" si="44"/>
        <v>91.712</v>
      </c>
      <c r="Y66" s="56">
        <f t="shared" si="45"/>
        <v>-0.05543902345218399</v>
      </c>
      <c r="Z66" s="56">
        <f t="shared" si="65"/>
        <v>-0.05543902345218399</v>
      </c>
      <c r="AA66" s="15">
        <f t="shared" si="9"/>
        <v>1.0000510204081632</v>
      </c>
      <c r="AB66" s="15">
        <f t="shared" si="66"/>
        <v>-11.98492229966497</v>
      </c>
      <c r="AC66" s="15">
        <f t="shared" si="99"/>
        <v>36.1139515322257</v>
      </c>
      <c r="AD66" s="15">
        <f t="shared" si="100"/>
        <v>0</v>
      </c>
      <c r="AE66" s="15">
        <f t="shared" si="101"/>
        <v>5.99215542761679</v>
      </c>
      <c r="AF66" s="15">
        <f t="shared" si="67"/>
        <v>-0.09824013364944661</v>
      </c>
      <c r="AG66" s="15">
        <f t="shared" si="68"/>
        <v>1.5707963267948966</v>
      </c>
      <c r="AH66" s="56">
        <f t="shared" si="69"/>
        <v>-0.0982961663093267</v>
      </c>
      <c r="AI66" s="15">
        <f t="shared" si="70"/>
        <v>0.7853981633974483</v>
      </c>
      <c r="AJ66" s="15">
        <f t="shared" si="71"/>
        <v>0</v>
      </c>
      <c r="AK66" s="57">
        <f t="shared" si="72"/>
        <v>0</v>
      </c>
      <c r="AL66" s="57">
        <f t="shared" si="102"/>
        <v>0</v>
      </c>
      <c r="AM66" s="58">
        <f t="shared" si="103"/>
        <v>-245.76146328330663</v>
      </c>
      <c r="AN66" s="59">
        <f t="shared" si="104"/>
        <v>0</v>
      </c>
      <c r="AO66" s="60">
        <f t="shared" si="105"/>
        <v>-251.76146328330663</v>
      </c>
      <c r="AP66" s="59">
        <f t="shared" si="73"/>
        <v>0</v>
      </c>
      <c r="AQ66" s="59">
        <f t="shared" si="74"/>
        <v>0</v>
      </c>
      <c r="AR66" s="61">
        <f t="shared" si="75"/>
        <v>0</v>
      </c>
      <c r="AS66" s="59">
        <f t="shared" si="76"/>
        <v>0</v>
      </c>
      <c r="AT66" s="60">
        <f t="shared" si="77"/>
        <v>-245.76146328330663</v>
      </c>
      <c r="AU66" s="59">
        <f t="shared" si="54"/>
        <v>0</v>
      </c>
      <c r="AV66" s="60">
        <f t="shared" si="78"/>
        <v>-245.76146328330663</v>
      </c>
      <c r="AW66" s="59">
        <f t="shared" si="79"/>
        <v>0</v>
      </c>
      <c r="AX66" s="59">
        <f t="shared" si="80"/>
        <v>0</v>
      </c>
      <c r="AY66" s="59">
        <f t="shared" si="81"/>
        <v>0</v>
      </c>
      <c r="AZ66" s="59">
        <f t="shared" si="82"/>
        <v>0</v>
      </c>
      <c r="BA66" s="59">
        <f t="shared" si="83"/>
        <v>0</v>
      </c>
      <c r="BB66" s="60" t="b">
        <f t="shared" si="84"/>
        <v>0</v>
      </c>
      <c r="BC66" s="60" t="b">
        <f t="shared" si="85"/>
        <v>0</v>
      </c>
      <c r="BD66" s="15" t="b">
        <f t="shared" si="86"/>
        <v>0</v>
      </c>
      <c r="BE66" s="15">
        <f t="shared" si="87"/>
        <v>-0.09824013364944661</v>
      </c>
      <c r="BF66" s="103">
        <f t="shared" si="88"/>
        <v>0</v>
      </c>
      <c r="BG66" s="103">
        <f t="shared" si="49"/>
        <v>0</v>
      </c>
      <c r="BH66" s="104">
        <f t="shared" si="55"/>
        <v>61</v>
      </c>
      <c r="BI66" s="105">
        <f t="shared" si="89"/>
        <v>0</v>
      </c>
      <c r="BJ66" s="51">
        <v>4</v>
      </c>
      <c r="BK66" s="60">
        <f t="shared" si="56"/>
        <v>0</v>
      </c>
      <c r="BL66" s="106">
        <f t="shared" si="50"/>
        <v>0</v>
      </c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</row>
    <row r="67" spans="1:208" ht="12.75">
      <c r="A67" s="15"/>
      <c r="B67" s="15"/>
      <c r="C67" s="15"/>
      <c r="D67" s="15"/>
      <c r="E67" s="15"/>
      <c r="F67" s="15">
        <f t="shared" si="52"/>
        <v>62</v>
      </c>
      <c r="G67" s="15">
        <f t="shared" si="90"/>
        <v>1.0539999999999998</v>
      </c>
      <c r="H67" s="88">
        <v>1</v>
      </c>
      <c r="I67" s="15">
        <f t="shared" si="0"/>
        <v>-12</v>
      </c>
      <c r="J67" s="15">
        <f t="shared" si="106"/>
        <v>35.002916000000006</v>
      </c>
      <c r="K67" s="15">
        <f t="shared" si="107"/>
        <v>1.9970818711309697</v>
      </c>
      <c r="L67" s="15">
        <f t="shared" si="94"/>
        <v>7</v>
      </c>
      <c r="M67" s="15">
        <f t="shared" si="108"/>
        <v>1.0539999999999998</v>
      </c>
      <c r="N67" s="15">
        <f t="shared" si="109"/>
        <v>1.6248226052921655</v>
      </c>
      <c r="O67" s="15">
        <f t="shared" si="63"/>
        <v>0.7853981633974483</v>
      </c>
      <c r="P67" s="15">
        <f t="shared" si="95"/>
        <v>6.323999999999999</v>
      </c>
      <c r="Q67" s="15">
        <f t="shared" si="96"/>
        <v>0</v>
      </c>
      <c r="R67" s="15">
        <f t="shared" si="64"/>
        <v>0.053999999999999826</v>
      </c>
      <c r="S67" s="110">
        <f t="shared" si="97"/>
        <v>7.1633981633974475</v>
      </c>
      <c r="T67" s="111">
        <f t="shared" si="53"/>
        <v>1.054</v>
      </c>
      <c r="U67" s="112">
        <f t="shared" si="98"/>
        <v>7.1633981633974475</v>
      </c>
      <c r="V67" s="15"/>
      <c r="W67" s="88">
        <f t="shared" si="43"/>
        <v>11.904000000000007</v>
      </c>
      <c r="X67" s="88">
        <f t="shared" si="44"/>
        <v>91.90400000000001</v>
      </c>
      <c r="Y67" s="56">
        <f t="shared" si="45"/>
        <v>-0.05759533895631641</v>
      </c>
      <c r="Z67" s="56">
        <f t="shared" si="65"/>
        <v>-0.05759533895631641</v>
      </c>
      <c r="AA67" s="15">
        <f t="shared" si="9"/>
        <v>1.0000510204081632</v>
      </c>
      <c r="AB67" s="15">
        <f t="shared" si="66"/>
        <v>-11.984891495157767</v>
      </c>
      <c r="AC67" s="15">
        <f t="shared" si="99"/>
        <v>36.118507900982124</v>
      </c>
      <c r="AD67" s="15">
        <f t="shared" si="100"/>
        <v>0</v>
      </c>
      <c r="AE67" s="15">
        <f t="shared" si="101"/>
        <v>5.992140026148978</v>
      </c>
      <c r="AF67" s="15">
        <f t="shared" si="67"/>
        <v>-0.10039633914309468</v>
      </c>
      <c r="AG67" s="15">
        <f t="shared" si="68"/>
        <v>1.5707963267948966</v>
      </c>
      <c r="AH67" s="56">
        <f t="shared" si="69"/>
        <v>-0.10045248181345912</v>
      </c>
      <c r="AI67" s="15">
        <f t="shared" si="70"/>
        <v>0.7853981633974483</v>
      </c>
      <c r="AJ67" s="15">
        <f t="shared" si="71"/>
        <v>0</v>
      </c>
      <c r="AK67" s="57">
        <f t="shared" si="72"/>
        <v>0</v>
      </c>
      <c r="AL67" s="57">
        <f t="shared" si="102"/>
        <v>0</v>
      </c>
      <c r="AM67" s="58">
        <f t="shared" si="103"/>
        <v>-246.06334745388517</v>
      </c>
      <c r="AN67" s="59">
        <f t="shared" si="104"/>
        <v>0</v>
      </c>
      <c r="AO67" s="60">
        <f t="shared" si="105"/>
        <v>-252.06334745388517</v>
      </c>
      <c r="AP67" s="59">
        <f t="shared" si="73"/>
        <v>0</v>
      </c>
      <c r="AQ67" s="59">
        <f t="shared" si="74"/>
        <v>0</v>
      </c>
      <c r="AR67" s="61">
        <f t="shared" si="75"/>
        <v>0</v>
      </c>
      <c r="AS67" s="59">
        <f t="shared" si="76"/>
        <v>0</v>
      </c>
      <c r="AT67" s="60">
        <f t="shared" si="77"/>
        <v>-246.06334745388517</v>
      </c>
      <c r="AU67" s="59">
        <f t="shared" si="54"/>
        <v>0</v>
      </c>
      <c r="AV67" s="60">
        <f t="shared" si="78"/>
        <v>-246.06334745388517</v>
      </c>
      <c r="AW67" s="59">
        <f t="shared" si="79"/>
        <v>0</v>
      </c>
      <c r="AX67" s="59">
        <f t="shared" si="80"/>
        <v>0</v>
      </c>
      <c r="AY67" s="59">
        <f t="shared" si="81"/>
        <v>0</v>
      </c>
      <c r="AZ67" s="59">
        <f t="shared" si="82"/>
        <v>0</v>
      </c>
      <c r="BA67" s="59">
        <f t="shared" si="83"/>
        <v>0</v>
      </c>
      <c r="BB67" s="60" t="b">
        <f t="shared" si="84"/>
        <v>0</v>
      </c>
      <c r="BC67" s="60" t="b">
        <f t="shared" si="85"/>
        <v>0</v>
      </c>
      <c r="BD67" s="15" t="b">
        <f t="shared" si="86"/>
        <v>0</v>
      </c>
      <c r="BE67" s="15">
        <f t="shared" si="87"/>
        <v>-0.10039633914309468</v>
      </c>
      <c r="BF67" s="103">
        <f t="shared" si="88"/>
        <v>0</v>
      </c>
      <c r="BG67" s="103">
        <f t="shared" si="49"/>
        <v>0</v>
      </c>
      <c r="BH67" s="104">
        <f t="shared" si="55"/>
        <v>62</v>
      </c>
      <c r="BI67" s="105">
        <f t="shared" si="89"/>
        <v>0</v>
      </c>
      <c r="BJ67" s="51">
        <v>2</v>
      </c>
      <c r="BK67" s="60">
        <f t="shared" si="56"/>
        <v>0</v>
      </c>
      <c r="BL67" s="106">
        <f t="shared" si="50"/>
        <v>0</v>
      </c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</row>
    <row r="68" spans="1:208" ht="12.75">
      <c r="A68" s="15"/>
      <c r="B68" s="15"/>
      <c r="C68" s="15"/>
      <c r="D68" s="15"/>
      <c r="E68" s="15"/>
      <c r="F68" s="15">
        <f t="shared" si="52"/>
        <v>63</v>
      </c>
      <c r="G68" s="15">
        <f t="shared" si="90"/>
        <v>1.071</v>
      </c>
      <c r="H68" s="88">
        <v>1</v>
      </c>
      <c r="I68" s="15">
        <f t="shared" si="0"/>
        <v>-12</v>
      </c>
      <c r="J68" s="15">
        <f t="shared" si="106"/>
        <v>35.005041</v>
      </c>
      <c r="K68" s="15">
        <f t="shared" si="107"/>
        <v>1.9949526310165877</v>
      </c>
      <c r="L68" s="15">
        <f t="shared" si="94"/>
        <v>7</v>
      </c>
      <c r="M68" s="15">
        <f t="shared" si="108"/>
        <v>1.071</v>
      </c>
      <c r="N68" s="15">
        <f t="shared" si="109"/>
        <v>1.6418561143528614</v>
      </c>
      <c r="O68" s="15">
        <f t="shared" si="63"/>
        <v>0.7853981633974483</v>
      </c>
      <c r="P68" s="15">
        <f t="shared" si="95"/>
        <v>6.426</v>
      </c>
      <c r="Q68" s="15">
        <f t="shared" si="96"/>
        <v>0</v>
      </c>
      <c r="R68" s="15">
        <f t="shared" si="64"/>
        <v>0.07099999999999995</v>
      </c>
      <c r="S68" s="110">
        <f t="shared" si="97"/>
        <v>7.282398163397448</v>
      </c>
      <c r="T68" s="111">
        <f t="shared" si="53"/>
        <v>1.071</v>
      </c>
      <c r="U68" s="112">
        <f t="shared" si="98"/>
        <v>7.282398163397448</v>
      </c>
      <c r="V68" s="15"/>
      <c r="W68" s="88">
        <f t="shared" si="43"/>
        <v>12.096000000000007</v>
      </c>
      <c r="X68" s="88">
        <f t="shared" si="44"/>
        <v>92.096</v>
      </c>
      <c r="Y68" s="56">
        <f t="shared" si="45"/>
        <v>-0.059756529038961226</v>
      </c>
      <c r="Z68" s="56">
        <f t="shared" si="65"/>
        <v>-0.059756529038961226</v>
      </c>
      <c r="AA68" s="15">
        <f t="shared" si="9"/>
        <v>1.0000510204081632</v>
      </c>
      <c r="AB68" s="15">
        <f t="shared" si="66"/>
        <v>-11.984860621013729</v>
      </c>
      <c r="AC68" s="15">
        <f t="shared" si="99"/>
        <v>36.123083900840705</v>
      </c>
      <c r="AD68" s="15">
        <f t="shared" si="100"/>
        <v>0</v>
      </c>
      <c r="AE68" s="15">
        <f t="shared" si="101"/>
        <v>5.992124589864525</v>
      </c>
      <c r="AF68" s="15">
        <f t="shared" si="67"/>
        <v>-0.10255741896656483</v>
      </c>
      <c r="AG68" s="15">
        <f t="shared" si="68"/>
        <v>1.5707963267948966</v>
      </c>
      <c r="AH68" s="56">
        <f t="shared" si="69"/>
        <v>-0.10261367189610393</v>
      </c>
      <c r="AI68" s="15">
        <f t="shared" si="70"/>
        <v>0.7853981633974483</v>
      </c>
      <c r="AJ68" s="15">
        <f t="shared" si="71"/>
        <v>0</v>
      </c>
      <c r="AK68" s="57">
        <f t="shared" si="72"/>
        <v>0</v>
      </c>
      <c r="AL68" s="57">
        <f t="shared" si="102"/>
        <v>0</v>
      </c>
      <c r="AM68" s="58">
        <f t="shared" si="103"/>
        <v>-246.36591406545543</v>
      </c>
      <c r="AN68" s="59">
        <f t="shared" si="104"/>
        <v>0</v>
      </c>
      <c r="AO68" s="60">
        <f t="shared" si="105"/>
        <v>-252.36591406545543</v>
      </c>
      <c r="AP68" s="59">
        <f t="shared" si="73"/>
        <v>0</v>
      </c>
      <c r="AQ68" s="59">
        <f t="shared" si="74"/>
        <v>0</v>
      </c>
      <c r="AR68" s="61">
        <f t="shared" si="75"/>
        <v>0</v>
      </c>
      <c r="AS68" s="59">
        <f t="shared" si="76"/>
        <v>0</v>
      </c>
      <c r="AT68" s="60">
        <f t="shared" si="77"/>
        <v>-246.36591406545543</v>
      </c>
      <c r="AU68" s="59">
        <f t="shared" si="54"/>
        <v>0</v>
      </c>
      <c r="AV68" s="60">
        <f t="shared" si="78"/>
        <v>-246.36591406545543</v>
      </c>
      <c r="AW68" s="59">
        <f t="shared" si="79"/>
        <v>0</v>
      </c>
      <c r="AX68" s="59">
        <f t="shared" si="80"/>
        <v>0</v>
      </c>
      <c r="AY68" s="59">
        <f t="shared" si="81"/>
        <v>0</v>
      </c>
      <c r="AZ68" s="59">
        <f t="shared" si="82"/>
        <v>0</v>
      </c>
      <c r="BA68" s="59">
        <f t="shared" si="83"/>
        <v>0</v>
      </c>
      <c r="BB68" s="60" t="b">
        <f t="shared" si="84"/>
        <v>0</v>
      </c>
      <c r="BC68" s="60" t="b">
        <f t="shared" si="85"/>
        <v>0</v>
      </c>
      <c r="BD68" s="15" t="b">
        <f t="shared" si="86"/>
        <v>0</v>
      </c>
      <c r="BE68" s="15">
        <f t="shared" si="87"/>
        <v>-0.10255741896656483</v>
      </c>
      <c r="BF68" s="103">
        <f t="shared" si="88"/>
        <v>0</v>
      </c>
      <c r="BG68" s="103">
        <f t="shared" si="49"/>
        <v>0</v>
      </c>
      <c r="BH68" s="104">
        <f t="shared" si="55"/>
        <v>63</v>
      </c>
      <c r="BI68" s="105">
        <f t="shared" si="89"/>
        <v>0</v>
      </c>
      <c r="BJ68" s="51">
        <v>4</v>
      </c>
      <c r="BK68" s="60">
        <f t="shared" si="56"/>
        <v>0</v>
      </c>
      <c r="BL68" s="106">
        <f t="shared" si="50"/>
        <v>0</v>
      </c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</row>
    <row r="69" spans="1:208" ht="12.75">
      <c r="A69" s="15"/>
      <c r="B69" s="15"/>
      <c r="C69" s="15"/>
      <c r="D69" s="15"/>
      <c r="E69" s="15"/>
      <c r="F69" s="15">
        <f t="shared" si="52"/>
        <v>64</v>
      </c>
      <c r="G69" s="15">
        <f t="shared" si="90"/>
        <v>1.088</v>
      </c>
      <c r="H69" s="88">
        <v>1</v>
      </c>
      <c r="I69" s="15">
        <f aca="true" t="shared" si="110" ref="I69:I105">-2*bz</f>
        <v>-12</v>
      </c>
      <c r="J69" s="15">
        <f t="shared" si="106"/>
        <v>35.007743999999995</v>
      </c>
      <c r="K69" s="15">
        <f t="shared" si="107"/>
        <v>1.9922409492829973</v>
      </c>
      <c r="L69" s="15">
        <f t="shared" si="94"/>
        <v>7</v>
      </c>
      <c r="M69" s="15">
        <f t="shared" si="108"/>
        <v>1.088</v>
      </c>
      <c r="N69" s="15">
        <f t="shared" si="109"/>
        <v>1.658910303094616</v>
      </c>
      <c r="O69" s="15">
        <f aca="true" t="shared" si="111" ref="O69:O100">IF(G69&lt;=R,R^2/2*N69-(R-G69)^2*TAN(N69)/2,N$2)</f>
        <v>0.7853981633974483</v>
      </c>
      <c r="P69" s="15">
        <f t="shared" si="95"/>
        <v>6.5280000000000005</v>
      </c>
      <c r="Q69" s="15">
        <f t="shared" si="96"/>
        <v>0</v>
      </c>
      <c r="R69" s="15">
        <f aca="true" t="shared" si="112" ref="R69:R105">IF(AND(beta=0,G69&gt;=R,hmx=hmw),R*(G69-R),IF(G69&lt;R,0,(2*db-(G69-R)/beta)*(G69-R)/2))</f>
        <v>0.08800000000000008</v>
      </c>
      <c r="S69" s="110">
        <f t="shared" si="97"/>
        <v>7.401398163397449</v>
      </c>
      <c r="T69" s="111">
        <f t="shared" si="53"/>
        <v>1.088</v>
      </c>
      <c r="U69" s="112">
        <f t="shared" si="98"/>
        <v>7.401398163397449</v>
      </c>
      <c r="V69" s="15"/>
      <c r="W69" s="88">
        <f t="shared" si="43"/>
        <v>12.288000000000007</v>
      </c>
      <c r="X69" s="88">
        <f t="shared" si="44"/>
        <v>92.28800000000001</v>
      </c>
      <c r="Y69" s="56">
        <f t="shared" si="45"/>
        <v>-0.06192259370011843</v>
      </c>
      <c r="Z69" s="56">
        <f aca="true" t="shared" si="113" ref="Z69:Z100">IF(AND(R=0,Y69&gt;h),h,Y69)</f>
        <v>-0.06192259370011843</v>
      </c>
      <c r="AA69" s="15">
        <f aca="true" t="shared" si="114" ref="AA69:AA78">1+DT^2</f>
        <v>1.0000510204081632</v>
      </c>
      <c r="AB69" s="15">
        <f aca="true" t="shared" si="115" ref="AB69:AB105">2*(Y69*DT-R*DT-bz)</f>
        <v>-11.984829677232856</v>
      </c>
      <c r="AC69" s="15">
        <f t="shared" si="99"/>
        <v>36.12767959501078</v>
      </c>
      <c r="AD69" s="15">
        <f t="shared" si="100"/>
        <v>0</v>
      </c>
      <c r="AE69" s="15">
        <f t="shared" si="101"/>
        <v>5.99210911876343</v>
      </c>
      <c r="AF69" s="15">
        <f aca="true" t="shared" si="116" ref="AF69:AF100">Z69+DT*AE69</f>
        <v>-0.10472337311985708</v>
      </c>
      <c r="AG69" s="15">
        <f aca="true" t="shared" si="117" ref="AG69:AG100">IF(AND(AF69&gt;0,AF69&lt;=R),ACOS((R-AF69)/R),PI()/2)</f>
        <v>1.5707963267948966</v>
      </c>
      <c r="AH69" s="56">
        <f aca="true" t="shared" si="118" ref="AH69:AH105">Z69+DT*bz</f>
        <v>-0.10477973655726114</v>
      </c>
      <c r="AI69" s="15">
        <f aca="true" t="shared" si="119" ref="AI69:AI105">IF(AG69&gt;=PI()/2,N$2,R^2*AG69/2)</f>
        <v>0.7853981633974483</v>
      </c>
      <c r="AJ69" s="15">
        <f aca="true" t="shared" si="120" ref="AJ69:AJ105">IF(AG69&gt;=PI()/2,0,(R-AH69)*(AE69-bz)/2)</f>
        <v>0</v>
      </c>
      <c r="AK69" s="57">
        <f aca="true" t="shared" si="121" ref="AK69:AK100">IF(AND(AF69&gt;0,AH69&gt;=0),AI69-AJ69,IF(AND(AH69&gt;h,AF69&gt;=R),N$2,0))</f>
        <v>0</v>
      </c>
      <c r="AL69" s="57">
        <f t="shared" si="102"/>
        <v>0</v>
      </c>
      <c r="AM69" s="58">
        <f t="shared" si="103"/>
        <v>-246.66916311801745</v>
      </c>
      <c r="AN69" s="59">
        <f t="shared" si="104"/>
        <v>0</v>
      </c>
      <c r="AO69" s="60">
        <f t="shared" si="105"/>
        <v>-252.66916311801745</v>
      </c>
      <c r="AP69" s="59">
        <f aca="true" t="shared" si="122" ref="AP69:AP100">IF(AND(Y69&gt;=h,AH69&gt;0,AH69&lt;h),bz*h+(h-AH69)*AO69/2,0)</f>
        <v>0</v>
      </c>
      <c r="AQ69" s="59">
        <f aca="true" t="shared" si="123" ref="AQ69:AQ105">IF(AND(Y69&lt;=0,AH69&gt;0,AH69&lt;h),(AH69^2/DT/2),0)</f>
        <v>0</v>
      </c>
      <c r="AR69" s="61">
        <f aca="true" t="shared" si="124" ref="AR69:AR105">IF(AND(AH69&lt;0,Y69&gt;0,Y69&lt;h),-((Y69)^2/DT/2),0)</f>
        <v>0</v>
      </c>
      <c r="AS69" s="59">
        <f aca="true" t="shared" si="125" ref="AS69:AS105">IF(AND(Y69&gt;0,Y69&lt;h,AH69&gt;=0,AH69&lt;h),(Y69+AH69)/2*bz,0)</f>
        <v>0</v>
      </c>
      <c r="AT69" s="60">
        <f aca="true" t="shared" si="126" ref="AT69:AT105">IF((bz*beta+Y69-h)/(beta-DT)&gt;bz+R,bz+R,(bz*beta+Y69-h)/(beta-DT))</f>
        <v>-246.66916311801745</v>
      </c>
      <c r="AU69" s="59">
        <f t="shared" si="54"/>
        <v>0</v>
      </c>
      <c r="AV69" s="60">
        <f aca="true" t="shared" si="127" ref="AV69:AV105">IF((h-bz*beta-Y69)/(DT-beta)&gt;(bz+R),(bz+R),(h-bz*beta-Y69)/(DT-beta))</f>
        <v>-246.66916311801745</v>
      </c>
      <c r="AW69" s="59">
        <f aca="true" t="shared" si="128" ref="AW69:AW100">IF(AF69&gt;=R,-AP$1,IF(OR(AH69&lt;h,beta=0),0,-(AH69-h)*(AV69-bz)/2))</f>
        <v>0</v>
      </c>
      <c r="AX69" s="59">
        <f aca="true" t="shared" si="129" ref="AX69:AX105">IF(BD69,pro,IF(AND(AH69&lt;=hmw,AF69&lt;=hmx,AH69&gt;R,AF69&gt;=R,hmw=hmx),pro-(hmw+hmx-AH69-AF69)/2*R,0))</f>
        <v>0</v>
      </c>
      <c r="AY69" s="59">
        <f aca="true" t="shared" si="130" ref="AY69:AY105">IF(BC69,pro+(hmx-AF69)^2/2/DT,0)</f>
        <v>0</v>
      </c>
      <c r="AZ69" s="59">
        <f aca="true" t="shared" si="131" ref="AZ69:AZ105">IF(BB69,pro-(hmw-AH69)^2/2/DT,0)</f>
        <v>0</v>
      </c>
      <c r="BA69" s="59">
        <f aca="true" t="shared" si="132" ref="BA69:BA105">IF(AND(AH69&lt;R,AF69&gt;R,hmx&gt;R,hmw=hmx),(AF69-R)^2/2/DT,0)</f>
        <v>0</v>
      </c>
      <c r="BB69" s="60" t="b">
        <f aca="true" t="shared" si="133" ref="BB69:BB105">AND(AH69&gt;R,AF69&gt;R,AH69&lt;hmx,AF69&gt;=hmx,hmw=hmx)</f>
        <v>0</v>
      </c>
      <c r="BC69" s="60" t="b">
        <f aca="true" t="shared" si="134" ref="BC69:BC105">AND(AH69&gt;R,AF69&gt;R,AF69&lt;hmx,AH69&gt;=hmw,hmw=hmx)</f>
        <v>0</v>
      </c>
      <c r="BD69" s="15" t="b">
        <f aca="true" t="shared" si="135" ref="BD69:BD105">AND(AH69&gt;hmw,AF69&gt;hmx,hmx&gt;R,hmw&gt;R)</f>
        <v>0</v>
      </c>
      <c r="BE69" s="15">
        <f aca="true" t="shared" si="136" ref="BE69:BE105">IF(AF69&gt;h,h,AF69)</f>
        <v>-0.10472337311985708</v>
      </c>
      <c r="BF69" s="103">
        <f aca="true" t="shared" si="137" ref="BF69:BF100">IF(AND(hmx=hmw,R=0,AF69&gt;0,AH69&gt;0),(Z69+BE69)*bz/2,(AR69+AS69))</f>
        <v>0</v>
      </c>
      <c r="BG69" s="103">
        <f t="shared" si="49"/>
        <v>0</v>
      </c>
      <c r="BH69" s="104">
        <f t="shared" si="55"/>
        <v>64</v>
      </c>
      <c r="BI69" s="105">
        <f aca="true" t="shared" si="138" ref="BI69:BI105">IF(R&gt;0,(AK69+AL69+AN69+AP69+AQ69+AR69+AS69+AU69+AW69+AX69+AY69+AZ69+BA69),BG69)</f>
        <v>0</v>
      </c>
      <c r="BJ69" s="51">
        <v>2</v>
      </c>
      <c r="BK69" s="60">
        <f t="shared" si="56"/>
        <v>0</v>
      </c>
      <c r="BL69" s="106">
        <f t="shared" si="50"/>
        <v>0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</row>
    <row r="70" spans="1:208" ht="12.75">
      <c r="A70" s="15"/>
      <c r="B70" s="15"/>
      <c r="C70" s="15"/>
      <c r="D70" s="15"/>
      <c r="E70" s="15"/>
      <c r="F70" s="15">
        <f t="shared" si="52"/>
        <v>65</v>
      </c>
      <c r="G70" s="15">
        <f aca="true" t="shared" si="139" ref="G70:G101">hmx*F70/100</f>
        <v>1.105</v>
      </c>
      <c r="H70" s="88">
        <v>1</v>
      </c>
      <c r="I70" s="15">
        <f t="shared" si="110"/>
        <v>-12</v>
      </c>
      <c r="J70" s="15">
        <f t="shared" si="106"/>
        <v>35.011025</v>
      </c>
      <c r="K70" s="15">
        <f t="shared" si="107"/>
        <v>1.988944443668554</v>
      </c>
      <c r="L70" s="15">
        <f t="shared" si="94"/>
        <v>7</v>
      </c>
      <c r="M70" s="15">
        <f t="shared" si="108"/>
        <v>1.105</v>
      </c>
      <c r="N70" s="15">
        <f t="shared" si="109"/>
        <v>1.675990227835285</v>
      </c>
      <c r="O70" s="15">
        <f t="shared" si="111"/>
        <v>0.7853981633974483</v>
      </c>
      <c r="P70" s="15">
        <f t="shared" si="95"/>
        <v>6.63</v>
      </c>
      <c r="Q70" s="15">
        <f t="shared" si="96"/>
        <v>0</v>
      </c>
      <c r="R70" s="15">
        <f t="shared" si="112"/>
        <v>0.10499999999999998</v>
      </c>
      <c r="S70" s="110">
        <f t="shared" si="97"/>
        <v>7.520398163397449</v>
      </c>
      <c r="T70" s="111">
        <f t="shared" si="53"/>
        <v>1.105</v>
      </c>
      <c r="U70" s="112">
        <f t="shared" si="98"/>
        <v>7.520398163397449</v>
      </c>
      <c r="V70" s="15"/>
      <c r="W70" s="88">
        <f aca="true" t="shared" si="140" ref="W70:W105">W69+DL</f>
        <v>12.480000000000008</v>
      </c>
      <c r="X70" s="88">
        <f aca="true" t="shared" si="141" ref="X70:X105">AA$3+W70</f>
        <v>92.48</v>
      </c>
      <c r="Y70" s="56">
        <f aca="true" t="shared" si="142" ref="Y70:Y105">(X$3-(C$20*X70^2+C$21*X70+C$22))</f>
        <v>-0.06409353293978803</v>
      </c>
      <c r="Z70" s="56">
        <f t="shared" si="113"/>
        <v>-0.06409353293978803</v>
      </c>
      <c r="AA70" s="15">
        <f t="shared" si="114"/>
        <v>1.0000510204081632</v>
      </c>
      <c r="AB70" s="15">
        <f t="shared" si="115"/>
        <v>-11.984798663815146</v>
      </c>
      <c r="AC70" s="15">
        <f t="shared" si="99"/>
        <v>36.13229504684428</v>
      </c>
      <c r="AD70" s="15">
        <f t="shared" si="100"/>
        <v>0</v>
      </c>
      <c r="AE70" s="15">
        <f t="shared" si="101"/>
        <v>5.992093612845694</v>
      </c>
      <c r="AF70" s="15">
        <f t="shared" si="116"/>
        <v>-0.10689420160297142</v>
      </c>
      <c r="AG70" s="15">
        <f t="shared" si="117"/>
        <v>1.5707963267948966</v>
      </c>
      <c r="AH70" s="56">
        <f t="shared" si="118"/>
        <v>-0.10695067579693074</v>
      </c>
      <c r="AI70" s="15">
        <f t="shared" si="119"/>
        <v>0.7853981633974483</v>
      </c>
      <c r="AJ70" s="15">
        <f t="shared" si="120"/>
        <v>0</v>
      </c>
      <c r="AK70" s="57">
        <f t="shared" si="121"/>
        <v>0</v>
      </c>
      <c r="AL70" s="57">
        <f t="shared" si="102"/>
        <v>0</v>
      </c>
      <c r="AM70" s="58">
        <f t="shared" si="103"/>
        <v>-246.97309461157118</v>
      </c>
      <c r="AN70" s="59">
        <f t="shared" si="104"/>
        <v>0</v>
      </c>
      <c r="AO70" s="60">
        <f t="shared" si="105"/>
        <v>-252.97309461157118</v>
      </c>
      <c r="AP70" s="59">
        <f t="shared" si="122"/>
        <v>0</v>
      </c>
      <c r="AQ70" s="59">
        <f t="shared" si="123"/>
        <v>0</v>
      </c>
      <c r="AR70" s="61">
        <f t="shared" si="124"/>
        <v>0</v>
      </c>
      <c r="AS70" s="59">
        <f t="shared" si="125"/>
        <v>0</v>
      </c>
      <c r="AT70" s="60">
        <f t="shared" si="126"/>
        <v>-246.97309461157118</v>
      </c>
      <c r="AU70" s="59">
        <f t="shared" si="54"/>
        <v>0</v>
      </c>
      <c r="AV70" s="60">
        <f t="shared" si="127"/>
        <v>-246.97309461157118</v>
      </c>
      <c r="AW70" s="59">
        <f t="shared" si="128"/>
        <v>0</v>
      </c>
      <c r="AX70" s="59">
        <f t="shared" si="129"/>
        <v>0</v>
      </c>
      <c r="AY70" s="59">
        <f t="shared" si="130"/>
        <v>0</v>
      </c>
      <c r="AZ70" s="59">
        <f t="shared" si="131"/>
        <v>0</v>
      </c>
      <c r="BA70" s="59">
        <f t="shared" si="132"/>
        <v>0</v>
      </c>
      <c r="BB70" s="60" t="b">
        <f t="shared" si="133"/>
        <v>0</v>
      </c>
      <c r="BC70" s="60" t="b">
        <f t="shared" si="134"/>
        <v>0</v>
      </c>
      <c r="BD70" s="15" t="b">
        <f t="shared" si="135"/>
        <v>0</v>
      </c>
      <c r="BE70" s="15">
        <f t="shared" si="136"/>
        <v>-0.10689420160297142</v>
      </c>
      <c r="BF70" s="103">
        <f t="shared" si="137"/>
        <v>0</v>
      </c>
      <c r="BG70" s="103">
        <f aca="true" t="shared" si="143" ref="BG70:BG105">IF(BF70&gt;0,BF70,0)</f>
        <v>0</v>
      </c>
      <c r="BH70" s="104">
        <f t="shared" si="55"/>
        <v>65</v>
      </c>
      <c r="BI70" s="105">
        <f t="shared" si="138"/>
        <v>0</v>
      </c>
      <c r="BJ70" s="51">
        <v>4</v>
      </c>
      <c r="BK70" s="60">
        <f t="shared" si="56"/>
        <v>0</v>
      </c>
      <c r="BL70" s="106">
        <f aca="true" t="shared" si="144" ref="BL70:BL105">BI70*BJ70</f>
        <v>0</v>
      </c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</row>
    <row r="71" spans="1:208" ht="12.75">
      <c r="A71" s="15"/>
      <c r="B71" s="15"/>
      <c r="C71" s="15"/>
      <c r="D71" s="15"/>
      <c r="E71" s="15"/>
      <c r="F71" s="15">
        <f aca="true" t="shared" si="145" ref="F71:F94">F70+1</f>
        <v>66</v>
      </c>
      <c r="G71" s="15">
        <f t="shared" si="139"/>
        <v>1.122</v>
      </c>
      <c r="H71" s="88">
        <v>1</v>
      </c>
      <c r="I71" s="15">
        <f t="shared" si="110"/>
        <v>-12</v>
      </c>
      <c r="J71" s="15">
        <f t="shared" si="106"/>
        <v>35.014884</v>
      </c>
      <c r="K71" s="15">
        <f t="shared" si="107"/>
        <v>1.9850602005984583</v>
      </c>
      <c r="L71" s="15">
        <f t="shared" si="94"/>
        <v>7</v>
      </c>
      <c r="M71" s="15">
        <f t="shared" si="108"/>
        <v>1.122</v>
      </c>
      <c r="N71" s="15">
        <f t="shared" si="109"/>
        <v>1.693101013301809</v>
      </c>
      <c r="O71" s="15">
        <f t="shared" si="111"/>
        <v>0.7853981633974483</v>
      </c>
      <c r="P71" s="15">
        <f t="shared" si="95"/>
        <v>6.732000000000001</v>
      </c>
      <c r="Q71" s="15">
        <f t="shared" si="96"/>
        <v>0</v>
      </c>
      <c r="R71" s="15">
        <f t="shared" si="112"/>
        <v>0.12200000000000011</v>
      </c>
      <c r="S71" s="110">
        <f t="shared" si="97"/>
        <v>7.639398163397449</v>
      </c>
      <c r="T71" s="111">
        <f aca="true" t="shared" si="146" ref="T71:T105">ROUND(G71,3)</f>
        <v>1.122</v>
      </c>
      <c r="U71" s="112">
        <f t="shared" si="98"/>
        <v>7.639398163397449</v>
      </c>
      <c r="V71" s="15"/>
      <c r="W71" s="88">
        <f t="shared" si="140"/>
        <v>12.672000000000008</v>
      </c>
      <c r="X71" s="88">
        <f t="shared" si="141"/>
        <v>92.67200000000001</v>
      </c>
      <c r="Y71" s="56">
        <f t="shared" si="142"/>
        <v>-0.06626934675796914</v>
      </c>
      <c r="Z71" s="56">
        <f t="shared" si="113"/>
        <v>-0.06626934675796914</v>
      </c>
      <c r="AA71" s="15">
        <f t="shared" si="114"/>
        <v>1.0000510204081632</v>
      </c>
      <c r="AB71" s="15">
        <f t="shared" si="115"/>
        <v>-11.9847675807606</v>
      </c>
      <c r="AC71" s="15">
        <f t="shared" si="99"/>
        <v>36.13693031983567</v>
      </c>
      <c r="AD71" s="15">
        <f t="shared" si="100"/>
        <v>0</v>
      </c>
      <c r="AE71" s="15">
        <f t="shared" si="101"/>
        <v>5.992078072111315</v>
      </c>
      <c r="AF71" s="15">
        <f t="shared" si="116"/>
        <v>-0.10906990441590696</v>
      </c>
      <c r="AG71" s="15">
        <f t="shared" si="117"/>
        <v>1.5707963267948966</v>
      </c>
      <c r="AH71" s="56">
        <f t="shared" si="118"/>
        <v>-0.10912648961511184</v>
      </c>
      <c r="AI71" s="15">
        <f t="shared" si="119"/>
        <v>0.7853981633974483</v>
      </c>
      <c r="AJ71" s="15">
        <f t="shared" si="120"/>
        <v>0</v>
      </c>
      <c r="AK71" s="57">
        <f t="shared" si="121"/>
        <v>0</v>
      </c>
      <c r="AL71" s="57">
        <f t="shared" si="102"/>
        <v>0</v>
      </c>
      <c r="AM71" s="58">
        <f t="shared" si="103"/>
        <v>-247.27770854611654</v>
      </c>
      <c r="AN71" s="59">
        <f aca="true" t="shared" si="147" ref="AN71:AN76">IF(AND(Y71&gt;0,Y71&lt;h,AH71&gt;=h),bz*h-(h-Y71)^2/DT/2,0)</f>
        <v>0</v>
      </c>
      <c r="AO71" s="60">
        <f t="shared" si="105"/>
        <v>-253.27770854611654</v>
      </c>
      <c r="AP71" s="59">
        <f t="shared" si="122"/>
        <v>0</v>
      </c>
      <c r="AQ71" s="59">
        <f t="shared" si="123"/>
        <v>0</v>
      </c>
      <c r="AR71" s="61">
        <f t="shared" si="124"/>
        <v>0</v>
      </c>
      <c r="AS71" s="59">
        <f t="shared" si="125"/>
        <v>0</v>
      </c>
      <c r="AT71" s="60">
        <f t="shared" si="126"/>
        <v>-247.27770854611654</v>
      </c>
      <c r="AU71" s="59">
        <f aca="true" t="shared" si="148" ref="AU71:AU105">IF(beta=0,0,IF(AND(AF71&gt;R,AF71&lt;hmx),(hmx-R)^2/beta/2-(hmx-AF71)*(bz+R-AT71)/2,IF(AF71&gt;=hmx,(hmx-R)^2/beta/2,0)))</f>
        <v>0</v>
      </c>
      <c r="AV71" s="60">
        <f t="shared" si="127"/>
        <v>-247.27770854611654</v>
      </c>
      <c r="AW71" s="59">
        <f t="shared" si="128"/>
        <v>0</v>
      </c>
      <c r="AX71" s="59">
        <f t="shared" si="129"/>
        <v>0</v>
      </c>
      <c r="AY71" s="59">
        <f t="shared" si="130"/>
        <v>0</v>
      </c>
      <c r="AZ71" s="59">
        <f t="shared" si="131"/>
        <v>0</v>
      </c>
      <c r="BA71" s="59">
        <f t="shared" si="132"/>
        <v>0</v>
      </c>
      <c r="BB71" s="60" t="b">
        <f t="shared" si="133"/>
        <v>0</v>
      </c>
      <c r="BC71" s="60" t="b">
        <f t="shared" si="134"/>
        <v>0</v>
      </c>
      <c r="BD71" s="15" t="b">
        <f t="shared" si="135"/>
        <v>0</v>
      </c>
      <c r="BE71" s="15">
        <f t="shared" si="136"/>
        <v>-0.10906990441590696</v>
      </c>
      <c r="BF71" s="103">
        <f t="shared" si="137"/>
        <v>0</v>
      </c>
      <c r="BG71" s="103">
        <f t="shared" si="143"/>
        <v>0</v>
      </c>
      <c r="BH71" s="104">
        <f aca="true" t="shared" si="149" ref="BH71:BH105">BH70+1</f>
        <v>66</v>
      </c>
      <c r="BI71" s="105">
        <f t="shared" si="138"/>
        <v>0</v>
      </c>
      <c r="BJ71" s="51">
        <v>2</v>
      </c>
      <c r="BK71" s="60">
        <f aca="true" t="shared" si="150" ref="BK71:BK104">BI71</f>
        <v>0</v>
      </c>
      <c r="BL71" s="106">
        <f t="shared" si="144"/>
        <v>0</v>
      </c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</row>
    <row r="72" spans="1:162" ht="12.75">
      <c r="A72" s="15"/>
      <c r="B72" s="15"/>
      <c r="C72" s="15"/>
      <c r="D72" s="15"/>
      <c r="E72" s="15"/>
      <c r="F72" s="15">
        <f t="shared" si="145"/>
        <v>67</v>
      </c>
      <c r="G72" s="15">
        <f t="shared" si="139"/>
        <v>1.139</v>
      </c>
      <c r="H72" s="88">
        <v>1</v>
      </c>
      <c r="I72" s="15">
        <f t="shared" si="110"/>
        <v>-12</v>
      </c>
      <c r="J72" s="15">
        <f t="shared" si="106"/>
        <v>35.019321</v>
      </c>
      <c r="K72" s="15">
        <f t="shared" si="107"/>
        <v>1.9805847621346602</v>
      </c>
      <c r="L72" s="15">
        <f t="shared" si="94"/>
        <v>7</v>
      </c>
      <c r="M72" s="15">
        <f t="shared" si="108"/>
        <v>1.139</v>
      </c>
      <c r="N72" s="15">
        <f t="shared" si="109"/>
        <v>1.710247866978364</v>
      </c>
      <c r="O72" s="15">
        <f t="shared" si="111"/>
        <v>0.7853981633974483</v>
      </c>
      <c r="P72" s="15">
        <f t="shared" si="95"/>
        <v>6.834</v>
      </c>
      <c r="Q72" s="15">
        <f t="shared" si="96"/>
        <v>0</v>
      </c>
      <c r="R72" s="15">
        <f t="shared" si="112"/>
        <v>0.139</v>
      </c>
      <c r="S72" s="110">
        <f t="shared" si="97"/>
        <v>7.758398163397448</v>
      </c>
      <c r="T72" s="111">
        <f t="shared" si="146"/>
        <v>1.139</v>
      </c>
      <c r="U72" s="112">
        <f t="shared" si="98"/>
        <v>7.758398163397448</v>
      </c>
      <c r="V72" s="15"/>
      <c r="W72" s="88">
        <f t="shared" si="140"/>
        <v>12.864000000000008</v>
      </c>
      <c r="X72" s="88">
        <f t="shared" si="141"/>
        <v>92.864</v>
      </c>
      <c r="Y72" s="56">
        <f t="shared" si="142"/>
        <v>-0.06845003515466352</v>
      </c>
      <c r="Z72" s="56">
        <f t="shared" si="113"/>
        <v>-0.06845003515466352</v>
      </c>
      <c r="AA72" s="15">
        <f t="shared" si="114"/>
        <v>1.0000510204081632</v>
      </c>
      <c r="AB72" s="15">
        <f t="shared" si="115"/>
        <v>-11.984736428069219</v>
      </c>
      <c r="AC72" s="15">
        <f t="shared" si="99"/>
        <v>36.141585477622</v>
      </c>
      <c r="AD72" s="15">
        <f t="shared" si="100"/>
        <v>0</v>
      </c>
      <c r="AE72" s="15">
        <f t="shared" si="101"/>
        <v>5.992062496560296</v>
      </c>
      <c r="AF72" s="15">
        <f t="shared" si="116"/>
        <v>-0.11125048155866549</v>
      </c>
      <c r="AG72" s="15">
        <f t="shared" si="117"/>
        <v>1.5707963267948966</v>
      </c>
      <c r="AH72" s="56">
        <f t="shared" si="118"/>
        <v>-0.11130717801180623</v>
      </c>
      <c r="AI72" s="15">
        <f t="shared" si="119"/>
        <v>0.7853981633974483</v>
      </c>
      <c r="AJ72" s="15">
        <f t="shared" si="120"/>
        <v>0</v>
      </c>
      <c r="AK72" s="57">
        <f t="shared" si="121"/>
        <v>0</v>
      </c>
      <c r="AL72" s="57">
        <f t="shared" si="102"/>
        <v>0</v>
      </c>
      <c r="AM72" s="58">
        <f t="shared" si="103"/>
        <v>-247.58300492165375</v>
      </c>
      <c r="AN72" s="59">
        <f t="shared" si="147"/>
        <v>0</v>
      </c>
      <c r="AO72" s="60">
        <f t="shared" si="105"/>
        <v>-253.58300492165375</v>
      </c>
      <c r="AP72" s="59">
        <f t="shared" si="122"/>
        <v>0</v>
      </c>
      <c r="AQ72" s="59">
        <f t="shared" si="123"/>
        <v>0</v>
      </c>
      <c r="AR72" s="61">
        <f t="shared" si="124"/>
        <v>0</v>
      </c>
      <c r="AS72" s="59">
        <f t="shared" si="125"/>
        <v>0</v>
      </c>
      <c r="AT72" s="60">
        <f t="shared" si="126"/>
        <v>-247.58300492165375</v>
      </c>
      <c r="AU72" s="59">
        <f t="shared" si="148"/>
        <v>0</v>
      </c>
      <c r="AV72" s="60">
        <f t="shared" si="127"/>
        <v>-247.58300492165375</v>
      </c>
      <c r="AW72" s="59">
        <f t="shared" si="128"/>
        <v>0</v>
      </c>
      <c r="AX72" s="59">
        <f t="shared" si="129"/>
        <v>0</v>
      </c>
      <c r="AY72" s="59">
        <f t="shared" si="130"/>
        <v>0</v>
      </c>
      <c r="AZ72" s="59">
        <f t="shared" si="131"/>
        <v>0</v>
      </c>
      <c r="BA72" s="59">
        <f t="shared" si="132"/>
        <v>0</v>
      </c>
      <c r="BB72" s="60" t="b">
        <f t="shared" si="133"/>
        <v>0</v>
      </c>
      <c r="BC72" s="60" t="b">
        <f t="shared" si="134"/>
        <v>0</v>
      </c>
      <c r="BD72" s="15" t="b">
        <f t="shared" si="135"/>
        <v>0</v>
      </c>
      <c r="BE72" s="15">
        <f t="shared" si="136"/>
        <v>-0.11125048155866549</v>
      </c>
      <c r="BF72" s="103">
        <f t="shared" si="137"/>
        <v>0</v>
      </c>
      <c r="BG72" s="103">
        <f t="shared" si="143"/>
        <v>0</v>
      </c>
      <c r="BH72" s="104">
        <f t="shared" si="149"/>
        <v>67</v>
      </c>
      <c r="BI72" s="105">
        <f t="shared" si="138"/>
        <v>0</v>
      </c>
      <c r="BJ72" s="51">
        <v>4</v>
      </c>
      <c r="BK72" s="60">
        <f t="shared" si="150"/>
        <v>0</v>
      </c>
      <c r="BL72" s="106">
        <f t="shared" si="144"/>
        <v>0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"/>
      <c r="FC72" s="1"/>
      <c r="FD72" s="1"/>
      <c r="FE72" s="1"/>
      <c r="FF72" s="1"/>
    </row>
    <row r="73" spans="1:162" ht="12.75">
      <c r="A73" s="15"/>
      <c r="B73" s="15"/>
      <c r="C73" s="15"/>
      <c r="D73" s="15"/>
      <c r="E73" s="15"/>
      <c r="F73" s="15">
        <f t="shared" si="145"/>
        <v>68</v>
      </c>
      <c r="G73" s="15">
        <f t="shared" si="139"/>
        <v>1.156</v>
      </c>
      <c r="H73" s="88">
        <v>1</v>
      </c>
      <c r="I73" s="15">
        <f t="shared" si="110"/>
        <v>-12</v>
      </c>
      <c r="J73" s="15">
        <f t="shared" si="106"/>
        <v>35.024336000000005</v>
      </c>
      <c r="K73" s="15">
        <f t="shared" si="107"/>
        <v>1.975514110301412</v>
      </c>
      <c r="L73" s="15">
        <f t="shared" si="94"/>
        <v>7</v>
      </c>
      <c r="M73" s="15">
        <f t="shared" si="108"/>
        <v>1.156</v>
      </c>
      <c r="N73" s="15">
        <f t="shared" si="109"/>
        <v>1.7274360940808284</v>
      </c>
      <c r="O73" s="15">
        <f t="shared" si="111"/>
        <v>0.7853981633974483</v>
      </c>
      <c r="P73" s="15">
        <f t="shared" si="95"/>
        <v>6.936</v>
      </c>
      <c r="Q73" s="15">
        <f t="shared" si="96"/>
        <v>0</v>
      </c>
      <c r="R73" s="15">
        <f t="shared" si="112"/>
        <v>0.15599999999999992</v>
      </c>
      <c r="S73" s="110">
        <f t="shared" si="97"/>
        <v>7.877398163397448</v>
      </c>
      <c r="T73" s="111">
        <f t="shared" si="146"/>
        <v>1.156</v>
      </c>
      <c r="U73" s="112">
        <f t="shared" si="98"/>
        <v>7.877398163397448</v>
      </c>
      <c r="V73" s="15"/>
      <c r="W73" s="88">
        <f t="shared" si="140"/>
        <v>13.056000000000008</v>
      </c>
      <c r="X73" s="88">
        <f t="shared" si="141"/>
        <v>93.05600000000001</v>
      </c>
      <c r="Y73" s="56">
        <f t="shared" si="142"/>
        <v>-0.0706355981298703</v>
      </c>
      <c r="Z73" s="56">
        <f t="shared" si="113"/>
        <v>-0.0706355981298703</v>
      </c>
      <c r="AA73" s="15">
        <f t="shared" si="114"/>
        <v>1.0000510204081632</v>
      </c>
      <c r="AB73" s="15">
        <f t="shared" si="115"/>
        <v>-11.984705205741001</v>
      </c>
      <c r="AC73" s="15">
        <f t="shared" si="99"/>
        <v>36.14626058398291</v>
      </c>
      <c r="AD73" s="15">
        <f t="shared" si="100"/>
        <v>0</v>
      </c>
      <c r="AE73" s="15">
        <f t="shared" si="101"/>
        <v>5.992046886192634</v>
      </c>
      <c r="AF73" s="15">
        <f t="shared" si="116"/>
        <v>-0.1134359330312461</v>
      </c>
      <c r="AG73" s="15">
        <f t="shared" si="117"/>
        <v>1.5707963267948966</v>
      </c>
      <c r="AH73" s="56">
        <f t="shared" si="118"/>
        <v>-0.11349274098701301</v>
      </c>
      <c r="AI73" s="15">
        <f t="shared" si="119"/>
        <v>0.7853981633974483</v>
      </c>
      <c r="AJ73" s="15">
        <f t="shared" si="120"/>
        <v>0</v>
      </c>
      <c r="AK73" s="57">
        <f t="shared" si="121"/>
        <v>0</v>
      </c>
      <c r="AL73" s="57">
        <f t="shared" si="102"/>
        <v>0</v>
      </c>
      <c r="AM73" s="58">
        <f t="shared" si="103"/>
        <v>-247.88898373818273</v>
      </c>
      <c r="AN73" s="59">
        <f t="shared" si="147"/>
        <v>0</v>
      </c>
      <c r="AO73" s="60">
        <f t="shared" si="105"/>
        <v>-253.88898373818273</v>
      </c>
      <c r="AP73" s="59">
        <f t="shared" si="122"/>
        <v>0</v>
      </c>
      <c r="AQ73" s="59">
        <f t="shared" si="123"/>
        <v>0</v>
      </c>
      <c r="AR73" s="61">
        <f t="shared" si="124"/>
        <v>0</v>
      </c>
      <c r="AS73" s="59">
        <f t="shared" si="125"/>
        <v>0</v>
      </c>
      <c r="AT73" s="60">
        <f t="shared" si="126"/>
        <v>-247.88898373818273</v>
      </c>
      <c r="AU73" s="59">
        <f t="shared" si="148"/>
        <v>0</v>
      </c>
      <c r="AV73" s="60">
        <f t="shared" si="127"/>
        <v>-247.88898373818273</v>
      </c>
      <c r="AW73" s="59">
        <f t="shared" si="128"/>
        <v>0</v>
      </c>
      <c r="AX73" s="59">
        <f t="shared" si="129"/>
        <v>0</v>
      </c>
      <c r="AY73" s="59">
        <f t="shared" si="130"/>
        <v>0</v>
      </c>
      <c r="AZ73" s="59">
        <f t="shared" si="131"/>
        <v>0</v>
      </c>
      <c r="BA73" s="59">
        <f t="shared" si="132"/>
        <v>0</v>
      </c>
      <c r="BB73" s="60" t="b">
        <f t="shared" si="133"/>
        <v>0</v>
      </c>
      <c r="BC73" s="60" t="b">
        <f t="shared" si="134"/>
        <v>0</v>
      </c>
      <c r="BD73" s="15" t="b">
        <f t="shared" si="135"/>
        <v>0</v>
      </c>
      <c r="BE73" s="15">
        <f t="shared" si="136"/>
        <v>-0.1134359330312461</v>
      </c>
      <c r="BF73" s="103">
        <f t="shared" si="137"/>
        <v>0</v>
      </c>
      <c r="BG73" s="103">
        <f t="shared" si="143"/>
        <v>0</v>
      </c>
      <c r="BH73" s="104">
        <f t="shared" si="149"/>
        <v>68</v>
      </c>
      <c r="BI73" s="105">
        <f t="shared" si="138"/>
        <v>0</v>
      </c>
      <c r="BJ73" s="51">
        <v>2</v>
      </c>
      <c r="BK73" s="60">
        <f t="shared" si="150"/>
        <v>0</v>
      </c>
      <c r="BL73" s="106">
        <f t="shared" si="144"/>
        <v>0</v>
      </c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"/>
      <c r="FC73" s="1"/>
      <c r="FD73" s="1"/>
      <c r="FE73" s="1"/>
      <c r="FF73" s="1"/>
    </row>
    <row r="74" spans="1:162" ht="12.75">
      <c r="A74" s="15"/>
      <c r="B74" s="15"/>
      <c r="C74" s="15"/>
      <c r="D74" s="15"/>
      <c r="E74" s="15"/>
      <c r="F74" s="15">
        <f t="shared" si="145"/>
        <v>69</v>
      </c>
      <c r="G74" s="15">
        <f t="shared" si="139"/>
        <v>1.173</v>
      </c>
      <c r="H74" s="88">
        <v>1</v>
      </c>
      <c r="I74" s="15">
        <f t="shared" si="110"/>
        <v>-12</v>
      </c>
      <c r="J74" s="15">
        <f t="shared" si="106"/>
        <v>35.029928999999996</v>
      </c>
      <c r="K74" s="15">
        <f t="shared" si="107"/>
        <v>1.9698436486178332</v>
      </c>
      <c r="L74" s="15">
        <f t="shared" si="94"/>
        <v>7</v>
      </c>
      <c r="M74" s="15">
        <f t="shared" si="108"/>
        <v>1.173</v>
      </c>
      <c r="N74" s="15">
        <f t="shared" si="109"/>
        <v>1.7446711132822983</v>
      </c>
      <c r="O74" s="15">
        <f t="shared" si="111"/>
        <v>0.7853981633974483</v>
      </c>
      <c r="P74" s="15">
        <f t="shared" si="95"/>
        <v>7.038</v>
      </c>
      <c r="Q74" s="15">
        <f t="shared" si="96"/>
        <v>0</v>
      </c>
      <c r="R74" s="15">
        <f t="shared" si="112"/>
        <v>0.17300000000000004</v>
      </c>
      <c r="S74" s="110">
        <f t="shared" si="97"/>
        <v>7.996398163397449</v>
      </c>
      <c r="T74" s="111">
        <f t="shared" si="146"/>
        <v>1.173</v>
      </c>
      <c r="U74" s="112">
        <f t="shared" si="98"/>
        <v>7.996398163397449</v>
      </c>
      <c r="V74" s="15"/>
      <c r="W74" s="88">
        <f t="shared" si="140"/>
        <v>13.248000000000008</v>
      </c>
      <c r="X74" s="88">
        <f t="shared" si="141"/>
        <v>93.248</v>
      </c>
      <c r="Y74" s="56">
        <f t="shared" si="142"/>
        <v>-0.07282603568358947</v>
      </c>
      <c r="Z74" s="56">
        <f t="shared" si="113"/>
        <v>-0.07282603568358947</v>
      </c>
      <c r="AA74" s="15">
        <f t="shared" si="114"/>
        <v>1.0000510204081632</v>
      </c>
      <c r="AB74" s="15">
        <f t="shared" si="115"/>
        <v>-11.984673913775948</v>
      </c>
      <c r="AC74" s="15">
        <f t="shared" si="99"/>
        <v>36.15095570284057</v>
      </c>
      <c r="AD74" s="15">
        <f t="shared" si="100"/>
        <v>0</v>
      </c>
      <c r="AE74" s="15">
        <f t="shared" si="101"/>
        <v>5.992031241008331</v>
      </c>
      <c r="AF74" s="15">
        <f t="shared" si="116"/>
        <v>-0.11562625883364883</v>
      </c>
      <c r="AG74" s="15">
        <f t="shared" si="117"/>
        <v>1.5707963267948966</v>
      </c>
      <c r="AH74" s="56">
        <f t="shared" si="118"/>
        <v>-0.11568317854073218</v>
      </c>
      <c r="AI74" s="15">
        <f t="shared" si="119"/>
        <v>0.7853981633974483</v>
      </c>
      <c r="AJ74" s="15">
        <f t="shared" si="120"/>
        <v>0</v>
      </c>
      <c r="AK74" s="57">
        <f t="shared" si="121"/>
        <v>0</v>
      </c>
      <c r="AL74" s="57">
        <f t="shared" si="102"/>
        <v>0</v>
      </c>
      <c r="AM74" s="58">
        <f t="shared" si="103"/>
        <v>-248.1956449957034</v>
      </c>
      <c r="AN74" s="59">
        <f t="shared" si="147"/>
        <v>0</v>
      </c>
      <c r="AO74" s="60">
        <f t="shared" si="105"/>
        <v>-254.1956449957034</v>
      </c>
      <c r="AP74" s="59">
        <f t="shared" si="122"/>
        <v>0</v>
      </c>
      <c r="AQ74" s="59">
        <f t="shared" si="123"/>
        <v>0</v>
      </c>
      <c r="AR74" s="61">
        <f t="shared" si="124"/>
        <v>0</v>
      </c>
      <c r="AS74" s="59">
        <f t="shared" si="125"/>
        <v>0</v>
      </c>
      <c r="AT74" s="60">
        <f t="shared" si="126"/>
        <v>-248.1956449957034</v>
      </c>
      <c r="AU74" s="59">
        <f t="shared" si="148"/>
        <v>0</v>
      </c>
      <c r="AV74" s="60">
        <f t="shared" si="127"/>
        <v>-248.1956449957034</v>
      </c>
      <c r="AW74" s="59">
        <f t="shared" si="128"/>
        <v>0</v>
      </c>
      <c r="AX74" s="59">
        <f t="shared" si="129"/>
        <v>0</v>
      </c>
      <c r="AY74" s="59">
        <f t="shared" si="130"/>
        <v>0</v>
      </c>
      <c r="AZ74" s="59">
        <f t="shared" si="131"/>
        <v>0</v>
      </c>
      <c r="BA74" s="59">
        <f t="shared" si="132"/>
        <v>0</v>
      </c>
      <c r="BB74" s="60" t="b">
        <f t="shared" si="133"/>
        <v>0</v>
      </c>
      <c r="BC74" s="60" t="b">
        <f t="shared" si="134"/>
        <v>0</v>
      </c>
      <c r="BD74" s="15" t="b">
        <f t="shared" si="135"/>
        <v>0</v>
      </c>
      <c r="BE74" s="15">
        <f t="shared" si="136"/>
        <v>-0.11562625883364883</v>
      </c>
      <c r="BF74" s="103">
        <f t="shared" si="137"/>
        <v>0</v>
      </c>
      <c r="BG74" s="103">
        <f t="shared" si="143"/>
        <v>0</v>
      </c>
      <c r="BH74" s="104">
        <f t="shared" si="149"/>
        <v>69</v>
      </c>
      <c r="BI74" s="105">
        <f t="shared" si="138"/>
        <v>0</v>
      </c>
      <c r="BJ74" s="51">
        <v>4</v>
      </c>
      <c r="BK74" s="60">
        <f t="shared" si="150"/>
        <v>0</v>
      </c>
      <c r="BL74" s="106">
        <f t="shared" si="144"/>
        <v>0</v>
      </c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"/>
      <c r="FC74" s="1"/>
      <c r="FD74" s="1"/>
      <c r="FE74" s="1"/>
      <c r="FF74" s="1"/>
    </row>
    <row r="75" spans="1:162" ht="12.75">
      <c r="A75" s="15"/>
      <c r="B75" s="15"/>
      <c r="C75" s="15"/>
      <c r="D75" s="15"/>
      <c r="E75" s="15"/>
      <c r="F75" s="15">
        <f t="shared" si="145"/>
        <v>70</v>
      </c>
      <c r="G75" s="15">
        <f t="shared" si="139"/>
        <v>1.19</v>
      </c>
      <c r="H75" s="88">
        <v>1</v>
      </c>
      <c r="I75" s="15">
        <f t="shared" si="110"/>
        <v>-12</v>
      </c>
      <c r="J75" s="15">
        <f t="shared" si="106"/>
        <v>35.0361</v>
      </c>
      <c r="K75" s="15">
        <f t="shared" si="107"/>
        <v>1.9635681806344312</v>
      </c>
      <c r="L75" s="15">
        <f t="shared" si="94"/>
        <v>7</v>
      </c>
      <c r="M75" s="15">
        <f t="shared" si="108"/>
        <v>1.19</v>
      </c>
      <c r="N75" s="15">
        <f t="shared" si="109"/>
        <v>1.7619584733259561</v>
      </c>
      <c r="O75" s="15">
        <f t="shared" si="111"/>
        <v>0.7853981633974483</v>
      </c>
      <c r="P75" s="15">
        <f t="shared" si="95"/>
        <v>7.14</v>
      </c>
      <c r="Q75" s="15">
        <f t="shared" si="96"/>
        <v>0</v>
      </c>
      <c r="R75" s="15">
        <f t="shared" si="112"/>
        <v>0.18999999999999995</v>
      </c>
      <c r="S75" s="110">
        <f t="shared" si="97"/>
        <v>8.115398163397447</v>
      </c>
      <c r="T75" s="111">
        <f t="shared" si="146"/>
        <v>1.19</v>
      </c>
      <c r="U75" s="112">
        <f t="shared" si="98"/>
        <v>8.115398163397447</v>
      </c>
      <c r="V75" s="15"/>
      <c r="W75" s="88">
        <f t="shared" si="140"/>
        <v>13.440000000000008</v>
      </c>
      <c r="X75" s="88">
        <f t="shared" si="141"/>
        <v>93.44000000000001</v>
      </c>
      <c r="Y75" s="56">
        <f t="shared" si="142"/>
        <v>-0.07502134781582104</v>
      </c>
      <c r="Z75" s="56">
        <f t="shared" si="113"/>
        <v>-0.07502134781582104</v>
      </c>
      <c r="AA75" s="15">
        <f t="shared" si="114"/>
        <v>1.0000510204081632</v>
      </c>
      <c r="AB75" s="15">
        <f t="shared" si="115"/>
        <v>-11.98464255217406</v>
      </c>
      <c r="AC75" s="15">
        <f t="shared" si="99"/>
        <v>36.15567089825974</v>
      </c>
      <c r="AD75" s="15">
        <f t="shared" si="100"/>
        <v>0</v>
      </c>
      <c r="AE75" s="15">
        <f t="shared" si="101"/>
        <v>5.9920155610073875</v>
      </c>
      <c r="AF75" s="15">
        <f t="shared" si="116"/>
        <v>-0.11782145896587365</v>
      </c>
      <c r="AG75" s="15">
        <f t="shared" si="117"/>
        <v>1.5707963267948966</v>
      </c>
      <c r="AH75" s="56">
        <f t="shared" si="118"/>
        <v>-0.11787849067296374</v>
      </c>
      <c r="AI75" s="15">
        <f t="shared" si="119"/>
        <v>0.7853981633974483</v>
      </c>
      <c r="AJ75" s="15">
        <f t="shared" si="120"/>
        <v>0</v>
      </c>
      <c r="AK75" s="57">
        <f t="shared" si="121"/>
        <v>0</v>
      </c>
      <c r="AL75" s="57">
        <f t="shared" si="102"/>
        <v>0</v>
      </c>
      <c r="AM75" s="58">
        <f t="shared" si="103"/>
        <v>-248.50298869421582</v>
      </c>
      <c r="AN75" s="59">
        <f t="shared" si="147"/>
        <v>0</v>
      </c>
      <c r="AO75" s="60">
        <f t="shared" si="105"/>
        <v>-254.50298869421582</v>
      </c>
      <c r="AP75" s="59">
        <f t="shared" si="122"/>
        <v>0</v>
      </c>
      <c r="AQ75" s="59">
        <f t="shared" si="123"/>
        <v>0</v>
      </c>
      <c r="AR75" s="61">
        <f t="shared" si="124"/>
        <v>0</v>
      </c>
      <c r="AS75" s="59">
        <f t="shared" si="125"/>
        <v>0</v>
      </c>
      <c r="AT75" s="60">
        <f t="shared" si="126"/>
        <v>-248.50298869421582</v>
      </c>
      <c r="AU75" s="59">
        <f t="shared" si="148"/>
        <v>0</v>
      </c>
      <c r="AV75" s="60">
        <f t="shared" si="127"/>
        <v>-248.50298869421582</v>
      </c>
      <c r="AW75" s="59">
        <f t="shared" si="128"/>
        <v>0</v>
      </c>
      <c r="AX75" s="59">
        <f t="shared" si="129"/>
        <v>0</v>
      </c>
      <c r="AY75" s="59">
        <f t="shared" si="130"/>
        <v>0</v>
      </c>
      <c r="AZ75" s="59">
        <f t="shared" si="131"/>
        <v>0</v>
      </c>
      <c r="BA75" s="59">
        <f t="shared" si="132"/>
        <v>0</v>
      </c>
      <c r="BB75" s="60" t="b">
        <f t="shared" si="133"/>
        <v>0</v>
      </c>
      <c r="BC75" s="60" t="b">
        <f t="shared" si="134"/>
        <v>0</v>
      </c>
      <c r="BD75" s="15" t="b">
        <f t="shared" si="135"/>
        <v>0</v>
      </c>
      <c r="BE75" s="15">
        <f t="shared" si="136"/>
        <v>-0.11782145896587365</v>
      </c>
      <c r="BF75" s="103">
        <f t="shared" si="137"/>
        <v>0</v>
      </c>
      <c r="BG75" s="103">
        <f t="shared" si="143"/>
        <v>0</v>
      </c>
      <c r="BH75" s="104">
        <f t="shared" si="149"/>
        <v>70</v>
      </c>
      <c r="BI75" s="105">
        <f t="shared" si="138"/>
        <v>0</v>
      </c>
      <c r="BJ75" s="51">
        <v>2</v>
      </c>
      <c r="BK75" s="60">
        <f t="shared" si="150"/>
        <v>0</v>
      </c>
      <c r="BL75" s="106">
        <f t="shared" si="144"/>
        <v>0</v>
      </c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"/>
      <c r="FC75" s="1"/>
      <c r="FD75" s="1"/>
      <c r="FE75" s="1"/>
      <c r="FF75" s="1"/>
    </row>
    <row r="76" spans="1:162" ht="12.75">
      <c r="A76" s="15"/>
      <c r="B76" s="15"/>
      <c r="C76" s="15"/>
      <c r="D76" s="15"/>
      <c r="E76" s="15"/>
      <c r="F76" s="15">
        <f t="shared" si="145"/>
        <v>71</v>
      </c>
      <c r="G76" s="15">
        <f t="shared" si="139"/>
        <v>1.207</v>
      </c>
      <c r="H76" s="88">
        <v>1</v>
      </c>
      <c r="I76" s="15">
        <f t="shared" si="110"/>
        <v>-12</v>
      </c>
      <c r="J76" s="15">
        <f t="shared" si="106"/>
        <v>35.042849</v>
      </c>
      <c r="K76" s="15">
        <f t="shared" si="107"/>
        <v>1.9566818852332672</v>
      </c>
      <c r="L76" s="15">
        <f t="shared" si="94"/>
        <v>7</v>
      </c>
      <c r="M76" s="15">
        <f t="shared" si="108"/>
        <v>1.207</v>
      </c>
      <c r="N76" s="15">
        <f t="shared" si="109"/>
        <v>1.779303870675538</v>
      </c>
      <c r="O76" s="15">
        <f t="shared" si="111"/>
        <v>0.7853981633974483</v>
      </c>
      <c r="P76" s="15">
        <f t="shared" si="95"/>
        <v>7.242000000000001</v>
      </c>
      <c r="Q76" s="15">
        <f t="shared" si="96"/>
        <v>0</v>
      </c>
      <c r="R76" s="15">
        <f t="shared" si="112"/>
        <v>0.20700000000000007</v>
      </c>
      <c r="S76" s="110">
        <f t="shared" si="97"/>
        <v>8.23439816339745</v>
      </c>
      <c r="T76" s="111">
        <f t="shared" si="146"/>
        <v>1.207</v>
      </c>
      <c r="U76" s="112">
        <f t="shared" si="98"/>
        <v>8.23439816339745</v>
      </c>
      <c r="V76" s="15"/>
      <c r="W76" s="88">
        <f t="shared" si="140"/>
        <v>13.632000000000009</v>
      </c>
      <c r="X76" s="88">
        <f t="shared" si="141"/>
        <v>93.632</v>
      </c>
      <c r="Y76" s="56">
        <f t="shared" si="142"/>
        <v>-0.077221534526565</v>
      </c>
      <c r="Z76" s="56">
        <f t="shared" si="113"/>
        <v>-0.077221534526565</v>
      </c>
      <c r="AA76" s="15">
        <f t="shared" si="114"/>
        <v>1.0000510204081632</v>
      </c>
      <c r="AB76" s="15">
        <f t="shared" si="115"/>
        <v>-11.984611120935336</v>
      </c>
      <c r="AC76" s="15">
        <f t="shared" si="99"/>
        <v>36.16040623444777</v>
      </c>
      <c r="AD76" s="15">
        <f t="shared" si="100"/>
        <v>0</v>
      </c>
      <c r="AE76" s="15">
        <f t="shared" si="101"/>
        <v>5.991999846189802</v>
      </c>
      <c r="AF76" s="15">
        <f t="shared" si="116"/>
        <v>-0.12002153342792057</v>
      </c>
      <c r="AG76" s="15">
        <f t="shared" si="117"/>
        <v>1.5707963267948966</v>
      </c>
      <c r="AH76" s="56">
        <f t="shared" si="118"/>
        <v>-0.1200786773837077</v>
      </c>
      <c r="AI76" s="15">
        <f t="shared" si="119"/>
        <v>0.7853981633974483</v>
      </c>
      <c r="AJ76" s="15">
        <f t="shared" si="120"/>
        <v>0</v>
      </c>
      <c r="AK76" s="57">
        <f t="shared" si="121"/>
        <v>0</v>
      </c>
      <c r="AL76" s="57">
        <f t="shared" si="102"/>
        <v>0</v>
      </c>
      <c r="AM76" s="58">
        <f t="shared" si="103"/>
        <v>-248.81101483371998</v>
      </c>
      <c r="AN76" s="59">
        <f t="shared" si="147"/>
        <v>0</v>
      </c>
      <c r="AO76" s="60">
        <f t="shared" si="105"/>
        <v>-254.81101483371998</v>
      </c>
      <c r="AP76" s="59">
        <f t="shared" si="122"/>
        <v>0</v>
      </c>
      <c r="AQ76" s="59">
        <f t="shared" si="123"/>
        <v>0</v>
      </c>
      <c r="AR76" s="61">
        <f t="shared" si="124"/>
        <v>0</v>
      </c>
      <c r="AS76" s="59">
        <f t="shared" si="125"/>
        <v>0</v>
      </c>
      <c r="AT76" s="60">
        <f t="shared" si="126"/>
        <v>-248.81101483371998</v>
      </c>
      <c r="AU76" s="59">
        <f t="shared" si="148"/>
        <v>0</v>
      </c>
      <c r="AV76" s="60">
        <f t="shared" si="127"/>
        <v>-248.81101483371998</v>
      </c>
      <c r="AW76" s="59">
        <f t="shared" si="128"/>
        <v>0</v>
      </c>
      <c r="AX76" s="59">
        <f t="shared" si="129"/>
        <v>0</v>
      </c>
      <c r="AY76" s="59">
        <f t="shared" si="130"/>
        <v>0</v>
      </c>
      <c r="AZ76" s="59">
        <f t="shared" si="131"/>
        <v>0</v>
      </c>
      <c r="BA76" s="59">
        <f t="shared" si="132"/>
        <v>0</v>
      </c>
      <c r="BB76" s="60" t="b">
        <f t="shared" si="133"/>
        <v>0</v>
      </c>
      <c r="BC76" s="60" t="b">
        <f t="shared" si="134"/>
        <v>0</v>
      </c>
      <c r="BD76" s="15" t="b">
        <f t="shared" si="135"/>
        <v>0</v>
      </c>
      <c r="BE76" s="15">
        <f t="shared" si="136"/>
        <v>-0.12002153342792057</v>
      </c>
      <c r="BF76" s="103">
        <f t="shared" si="137"/>
        <v>0</v>
      </c>
      <c r="BG76" s="103">
        <f t="shared" si="143"/>
        <v>0</v>
      </c>
      <c r="BH76" s="104">
        <f t="shared" si="149"/>
        <v>71</v>
      </c>
      <c r="BI76" s="105">
        <f t="shared" si="138"/>
        <v>0</v>
      </c>
      <c r="BJ76" s="51">
        <v>4</v>
      </c>
      <c r="BK76" s="60">
        <f t="shared" si="150"/>
        <v>0</v>
      </c>
      <c r="BL76" s="106">
        <f t="shared" si="144"/>
        <v>0</v>
      </c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"/>
      <c r="FC76" s="1"/>
      <c r="FD76" s="1"/>
      <c r="FE76" s="1"/>
      <c r="FF76" s="1"/>
    </row>
    <row r="77" spans="1:162" ht="12.75">
      <c r="A77" s="15"/>
      <c r="B77" s="15"/>
      <c r="C77" s="15"/>
      <c r="D77" s="15"/>
      <c r="E77" s="15"/>
      <c r="F77" s="15">
        <f t="shared" si="145"/>
        <v>72</v>
      </c>
      <c r="G77" s="15">
        <f t="shared" si="139"/>
        <v>1.224</v>
      </c>
      <c r="H77" s="88">
        <v>1</v>
      </c>
      <c r="I77" s="15">
        <f t="shared" si="110"/>
        <v>-12</v>
      </c>
      <c r="J77" s="15">
        <f t="shared" si="106"/>
        <v>35.050176</v>
      </c>
      <c r="K77" s="15">
        <f t="shared" si="107"/>
        <v>1.949178288407707</v>
      </c>
      <c r="L77" s="15">
        <f t="shared" si="94"/>
        <v>7</v>
      </c>
      <c r="M77" s="15">
        <f t="shared" si="108"/>
        <v>1.224</v>
      </c>
      <c r="N77" s="15">
        <f t="shared" si="109"/>
        <v>1.7967131683703763</v>
      </c>
      <c r="O77" s="15">
        <f t="shared" si="111"/>
        <v>0.7853981633974483</v>
      </c>
      <c r="P77" s="15">
        <f t="shared" si="95"/>
        <v>7.343999999999999</v>
      </c>
      <c r="Q77" s="15">
        <f t="shared" si="96"/>
        <v>0</v>
      </c>
      <c r="R77" s="15">
        <f t="shared" si="112"/>
        <v>0.22399999999999998</v>
      </c>
      <c r="S77" s="110">
        <f t="shared" si="97"/>
        <v>8.353398163397447</v>
      </c>
      <c r="T77" s="111">
        <f t="shared" si="146"/>
        <v>1.224</v>
      </c>
      <c r="U77" s="112">
        <f t="shared" si="98"/>
        <v>8.353398163397447</v>
      </c>
      <c r="V77" s="15"/>
      <c r="W77" s="88">
        <f t="shared" si="140"/>
        <v>13.824000000000009</v>
      </c>
      <c r="X77" s="88">
        <f t="shared" si="141"/>
        <v>93.82400000000001</v>
      </c>
      <c r="Y77" s="56">
        <f t="shared" si="142"/>
        <v>-0.07942659581582046</v>
      </c>
      <c r="Z77" s="56">
        <f t="shared" si="113"/>
        <v>-0.07942659581582046</v>
      </c>
      <c r="AA77" s="15">
        <f t="shared" si="114"/>
        <v>1.0000510204081632</v>
      </c>
      <c r="AB77" s="15">
        <f t="shared" si="115"/>
        <v>-11.984579620059774</v>
      </c>
      <c r="AC77" s="15">
        <f t="shared" si="99"/>
        <v>36.165161775754534</v>
      </c>
      <c r="AD77" s="15">
        <f t="shared" si="100"/>
        <v>0</v>
      </c>
      <c r="AE77" s="15">
        <f t="shared" si="101"/>
        <v>5.991984096555574</v>
      </c>
      <c r="AF77" s="15">
        <f t="shared" si="116"/>
        <v>-0.12222648221978868</v>
      </c>
      <c r="AG77" s="15">
        <f t="shared" si="117"/>
        <v>1.5707963267948966</v>
      </c>
      <c r="AH77" s="56">
        <f t="shared" si="118"/>
        <v>-0.12228373867296316</v>
      </c>
      <c r="AI77" s="15">
        <f t="shared" si="119"/>
        <v>0.7853981633974483</v>
      </c>
      <c r="AJ77" s="15">
        <f t="shared" si="120"/>
        <v>0</v>
      </c>
      <c r="AK77" s="57">
        <f t="shared" si="121"/>
        <v>0</v>
      </c>
      <c r="AL77" s="57">
        <f t="shared" si="102"/>
        <v>0</v>
      </c>
      <c r="AM77" s="58">
        <f t="shared" si="103"/>
        <v>-249.11972341421574</v>
      </c>
      <c r="AN77" s="59">
        <f t="shared" si="104"/>
        <v>0</v>
      </c>
      <c r="AO77" s="60">
        <f t="shared" si="105"/>
        <v>-255.11972341421574</v>
      </c>
      <c r="AP77" s="59">
        <f t="shared" si="122"/>
        <v>0</v>
      </c>
      <c r="AQ77" s="59">
        <f t="shared" si="123"/>
        <v>0</v>
      </c>
      <c r="AR77" s="61">
        <f t="shared" si="124"/>
        <v>0</v>
      </c>
      <c r="AS77" s="59">
        <f t="shared" si="125"/>
        <v>0</v>
      </c>
      <c r="AT77" s="60">
        <f t="shared" si="126"/>
        <v>-249.11972341421574</v>
      </c>
      <c r="AU77" s="59">
        <f t="shared" si="148"/>
        <v>0</v>
      </c>
      <c r="AV77" s="60">
        <f t="shared" si="127"/>
        <v>-249.11972341421574</v>
      </c>
      <c r="AW77" s="59">
        <f t="shared" si="128"/>
        <v>0</v>
      </c>
      <c r="AX77" s="59">
        <f t="shared" si="129"/>
        <v>0</v>
      </c>
      <c r="AY77" s="59">
        <f t="shared" si="130"/>
        <v>0</v>
      </c>
      <c r="AZ77" s="59">
        <f t="shared" si="131"/>
        <v>0</v>
      </c>
      <c r="BA77" s="59">
        <f t="shared" si="132"/>
        <v>0</v>
      </c>
      <c r="BB77" s="60" t="b">
        <f t="shared" si="133"/>
        <v>0</v>
      </c>
      <c r="BC77" s="60" t="b">
        <f t="shared" si="134"/>
        <v>0</v>
      </c>
      <c r="BD77" s="15" t="b">
        <f t="shared" si="135"/>
        <v>0</v>
      </c>
      <c r="BE77" s="15">
        <f t="shared" si="136"/>
        <v>-0.12222648221978868</v>
      </c>
      <c r="BF77" s="103">
        <f t="shared" si="137"/>
        <v>0</v>
      </c>
      <c r="BG77" s="103">
        <f t="shared" si="143"/>
        <v>0</v>
      </c>
      <c r="BH77" s="104">
        <f t="shared" si="149"/>
        <v>72</v>
      </c>
      <c r="BI77" s="105">
        <f t="shared" si="138"/>
        <v>0</v>
      </c>
      <c r="BJ77" s="51">
        <v>2</v>
      </c>
      <c r="BK77" s="60">
        <f t="shared" si="150"/>
        <v>0</v>
      </c>
      <c r="BL77" s="106">
        <f t="shared" si="144"/>
        <v>0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"/>
      <c r="FC77" s="1"/>
      <c r="FD77" s="1"/>
      <c r="FE77" s="1"/>
      <c r="FF77" s="1"/>
    </row>
    <row r="78" spans="1:162" ht="12.75">
      <c r="A78" s="15"/>
      <c r="B78" s="15"/>
      <c r="C78" s="15"/>
      <c r="D78" s="15"/>
      <c r="E78" s="15"/>
      <c r="F78" s="15">
        <f t="shared" si="145"/>
        <v>73</v>
      </c>
      <c r="G78" s="15">
        <f t="shared" si="139"/>
        <v>1.2409999999999999</v>
      </c>
      <c r="H78" s="88">
        <v>1</v>
      </c>
      <c r="I78" s="15">
        <f t="shared" si="110"/>
        <v>-12</v>
      </c>
      <c r="J78" s="15">
        <f t="shared" si="106"/>
        <v>35.058081</v>
      </c>
      <c r="K78" s="15">
        <f t="shared" si="107"/>
        <v>1.9410502311892897</v>
      </c>
      <c r="L78" s="15">
        <f aca="true" t="shared" si="151" ref="L78:L105">IF(G78&gt;=R,(bz+R),(-I78+K78)/(2*H78))</f>
        <v>7</v>
      </c>
      <c r="M78" s="15">
        <f t="shared" si="108"/>
        <v>1.2409999999999999</v>
      </c>
      <c r="N78" s="15">
        <f t="shared" si="109"/>
        <v>1.814192416271976</v>
      </c>
      <c r="O78" s="15">
        <f t="shared" si="111"/>
        <v>0.7853981633974483</v>
      </c>
      <c r="P78" s="15">
        <f aca="true" t="shared" si="152" ref="P78:P105">IF(G78&lt;=h,bz*G78,bz*h)</f>
        <v>7.446</v>
      </c>
      <c r="Q78" s="15">
        <f aca="true" t="shared" si="153" ref="Q78:Q105">IF(AND(G78&gt;h,G78&lt;=R,beta&gt;0),(G78-h)^2/2/TAN(beta),IF(G78&gt;R,tru,0))</f>
        <v>0</v>
      </c>
      <c r="R78" s="15">
        <f t="shared" si="112"/>
        <v>0.24099999999999988</v>
      </c>
      <c r="S78" s="110">
        <f t="shared" si="97"/>
        <v>8.472398163397447</v>
      </c>
      <c r="T78" s="111">
        <f t="shared" si="146"/>
        <v>1.241</v>
      </c>
      <c r="U78" s="112">
        <f t="shared" si="98"/>
        <v>8.472398163397447</v>
      </c>
      <c r="V78" s="15"/>
      <c r="W78" s="88">
        <f t="shared" si="140"/>
        <v>14.016000000000009</v>
      </c>
      <c r="X78" s="88">
        <f t="shared" si="141"/>
        <v>94.016</v>
      </c>
      <c r="Y78" s="56">
        <f t="shared" si="142"/>
        <v>-0.0816365316835892</v>
      </c>
      <c r="Z78" s="56">
        <f t="shared" si="113"/>
        <v>-0.0816365316835892</v>
      </c>
      <c r="AA78" s="15">
        <f t="shared" si="114"/>
        <v>1.0000510204081632</v>
      </c>
      <c r="AB78" s="15">
        <f t="shared" si="115"/>
        <v>-11.984548049547378</v>
      </c>
      <c r="AC78" s="15">
        <f t="shared" si="99"/>
        <v>36.1699375866725</v>
      </c>
      <c r="AD78" s="15">
        <f t="shared" si="100"/>
        <v>0</v>
      </c>
      <c r="AE78" s="15">
        <f t="shared" si="101"/>
        <v>5.991968312104705</v>
      </c>
      <c r="AF78" s="15">
        <f t="shared" si="116"/>
        <v>-0.12443630534147979</v>
      </c>
      <c r="AG78" s="15">
        <f t="shared" si="117"/>
        <v>1.5707963267948966</v>
      </c>
      <c r="AH78" s="56">
        <f t="shared" si="118"/>
        <v>-0.1244936745407319</v>
      </c>
      <c r="AI78" s="15">
        <f t="shared" si="119"/>
        <v>0.7853981633974483</v>
      </c>
      <c r="AJ78" s="15">
        <f t="shared" si="120"/>
        <v>0</v>
      </c>
      <c r="AK78" s="57">
        <f t="shared" si="121"/>
        <v>0</v>
      </c>
      <c r="AL78" s="57">
        <f t="shared" si="102"/>
        <v>0</v>
      </c>
      <c r="AM78" s="58">
        <f t="shared" si="103"/>
        <v>-249.42911443570335</v>
      </c>
      <c r="AN78" s="59">
        <f t="shared" si="104"/>
        <v>0</v>
      </c>
      <c r="AO78" s="60">
        <f t="shared" si="105"/>
        <v>-255.42911443570335</v>
      </c>
      <c r="AP78" s="59">
        <f t="shared" si="122"/>
        <v>0</v>
      </c>
      <c r="AQ78" s="59">
        <f t="shared" si="123"/>
        <v>0</v>
      </c>
      <c r="AR78" s="61">
        <f t="shared" si="124"/>
        <v>0</v>
      </c>
      <c r="AS78" s="59">
        <f t="shared" si="125"/>
        <v>0</v>
      </c>
      <c r="AT78" s="60">
        <f t="shared" si="126"/>
        <v>-249.42911443570335</v>
      </c>
      <c r="AU78" s="59">
        <f t="shared" si="148"/>
        <v>0</v>
      </c>
      <c r="AV78" s="60">
        <f t="shared" si="127"/>
        <v>-249.42911443570335</v>
      </c>
      <c r="AW78" s="59">
        <f t="shared" si="128"/>
        <v>0</v>
      </c>
      <c r="AX78" s="59">
        <f t="shared" si="129"/>
        <v>0</v>
      </c>
      <c r="AY78" s="59">
        <f t="shared" si="130"/>
        <v>0</v>
      </c>
      <c r="AZ78" s="59">
        <f t="shared" si="131"/>
        <v>0</v>
      </c>
      <c r="BA78" s="59">
        <f t="shared" si="132"/>
        <v>0</v>
      </c>
      <c r="BB78" s="60" t="b">
        <f t="shared" si="133"/>
        <v>0</v>
      </c>
      <c r="BC78" s="60" t="b">
        <f t="shared" si="134"/>
        <v>0</v>
      </c>
      <c r="BD78" s="15" t="b">
        <f t="shared" si="135"/>
        <v>0</v>
      </c>
      <c r="BE78" s="15">
        <f t="shared" si="136"/>
        <v>-0.12443630534147979</v>
      </c>
      <c r="BF78" s="103">
        <f t="shared" si="137"/>
        <v>0</v>
      </c>
      <c r="BG78" s="103">
        <f t="shared" si="143"/>
        <v>0</v>
      </c>
      <c r="BH78" s="104">
        <f t="shared" si="149"/>
        <v>73</v>
      </c>
      <c r="BI78" s="105">
        <f t="shared" si="138"/>
        <v>0</v>
      </c>
      <c r="BJ78" s="94">
        <v>4</v>
      </c>
      <c r="BK78" s="60">
        <f t="shared" si="150"/>
        <v>0</v>
      </c>
      <c r="BL78" s="106">
        <f t="shared" si="144"/>
        <v>0</v>
      </c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"/>
      <c r="FC78" s="1"/>
      <c r="FD78" s="1"/>
      <c r="FE78" s="1"/>
      <c r="FF78" s="1"/>
    </row>
    <row r="79" spans="1:162" ht="12.75">
      <c r="A79" s="15"/>
      <c r="B79" s="15"/>
      <c r="C79" s="15"/>
      <c r="D79" s="15"/>
      <c r="E79" s="15"/>
      <c r="F79" s="15">
        <f t="shared" si="145"/>
        <v>74</v>
      </c>
      <c r="G79" s="15">
        <f t="shared" si="139"/>
        <v>1.258</v>
      </c>
      <c r="H79" s="88">
        <v>1</v>
      </c>
      <c r="I79" s="15">
        <f t="shared" si="110"/>
        <v>-12</v>
      </c>
      <c r="J79" s="15">
        <f t="shared" si="106"/>
        <v>35.066564</v>
      </c>
      <c r="K79" s="15">
        <f t="shared" si="107"/>
        <v>1.932289833332464</v>
      </c>
      <c r="L79" s="15">
        <f t="shared" si="151"/>
        <v>7</v>
      </c>
      <c r="M79" s="15">
        <f t="shared" si="108"/>
        <v>1.258</v>
      </c>
      <c r="N79" s="15">
        <f t="shared" si="109"/>
        <v>1.8317478729128405</v>
      </c>
      <c r="O79" s="15">
        <f t="shared" si="111"/>
        <v>0.7853981633974483</v>
      </c>
      <c r="P79" s="15">
        <f t="shared" si="152"/>
        <v>7.548</v>
      </c>
      <c r="Q79" s="15">
        <f t="shared" si="153"/>
        <v>0</v>
      </c>
      <c r="R79" s="15">
        <f t="shared" si="112"/>
        <v>0.258</v>
      </c>
      <c r="S79" s="110">
        <f t="shared" si="97"/>
        <v>8.591398163397447</v>
      </c>
      <c r="T79" s="111">
        <f t="shared" si="146"/>
        <v>1.258</v>
      </c>
      <c r="U79" s="112">
        <f t="shared" si="98"/>
        <v>8.591398163397447</v>
      </c>
      <c r="V79" s="15"/>
      <c r="W79" s="88">
        <f t="shared" si="140"/>
        <v>14.208000000000009</v>
      </c>
      <c r="X79" s="88">
        <f t="shared" si="141"/>
        <v>94.20800000000001</v>
      </c>
      <c r="Y79" s="56">
        <f t="shared" si="142"/>
        <v>-0.08385134212987033</v>
      </c>
      <c r="Z79" s="56">
        <f t="shared" si="113"/>
        <v>-0.08385134212987033</v>
      </c>
      <c r="AA79" s="15">
        <f aca="true" t="shared" si="154" ref="AA79:AA105">1+DT^2</f>
        <v>1.0000510204081632</v>
      </c>
      <c r="AB79" s="15">
        <f t="shared" si="115"/>
        <v>-11.984516409398145</v>
      </c>
      <c r="AC79" s="15">
        <f t="shared" si="99"/>
        <v>36.174733731836724</v>
      </c>
      <c r="AD79" s="15">
        <f t="shared" si="100"/>
        <v>0</v>
      </c>
      <c r="AE79" s="15">
        <f t="shared" si="101"/>
        <v>5.991952492837194</v>
      </c>
      <c r="AF79" s="15">
        <f t="shared" si="116"/>
        <v>-0.126651002792993</v>
      </c>
      <c r="AG79" s="15">
        <f t="shared" si="117"/>
        <v>1.5707963267948966</v>
      </c>
      <c r="AH79" s="56">
        <f t="shared" si="118"/>
        <v>-0.12670848498701304</v>
      </c>
      <c r="AI79" s="15">
        <f t="shared" si="119"/>
        <v>0.7853981633974483</v>
      </c>
      <c r="AJ79" s="15">
        <f t="shared" si="120"/>
        <v>0</v>
      </c>
      <c r="AK79" s="57">
        <f t="shared" si="121"/>
        <v>0</v>
      </c>
      <c r="AL79" s="57">
        <f t="shared" si="102"/>
        <v>0</v>
      </c>
      <c r="AM79" s="58">
        <f t="shared" si="103"/>
        <v>-249.73918789818273</v>
      </c>
      <c r="AN79" s="59">
        <f t="shared" si="104"/>
        <v>0</v>
      </c>
      <c r="AO79" s="60">
        <f t="shared" si="105"/>
        <v>-255.73918789818273</v>
      </c>
      <c r="AP79" s="59">
        <f t="shared" si="122"/>
        <v>0</v>
      </c>
      <c r="AQ79" s="59">
        <f t="shared" si="123"/>
        <v>0</v>
      </c>
      <c r="AR79" s="61">
        <f t="shared" si="124"/>
        <v>0</v>
      </c>
      <c r="AS79" s="59">
        <f t="shared" si="125"/>
        <v>0</v>
      </c>
      <c r="AT79" s="60">
        <f t="shared" si="126"/>
        <v>-249.73918789818273</v>
      </c>
      <c r="AU79" s="59">
        <f t="shared" si="148"/>
        <v>0</v>
      </c>
      <c r="AV79" s="60">
        <f t="shared" si="127"/>
        <v>-249.73918789818273</v>
      </c>
      <c r="AW79" s="59">
        <f t="shared" si="128"/>
        <v>0</v>
      </c>
      <c r="AX79" s="59">
        <f t="shared" si="129"/>
        <v>0</v>
      </c>
      <c r="AY79" s="59">
        <f t="shared" si="130"/>
        <v>0</v>
      </c>
      <c r="AZ79" s="59">
        <f t="shared" si="131"/>
        <v>0</v>
      </c>
      <c r="BA79" s="59">
        <f t="shared" si="132"/>
        <v>0</v>
      </c>
      <c r="BB79" s="60" t="b">
        <f t="shared" si="133"/>
        <v>0</v>
      </c>
      <c r="BC79" s="60" t="b">
        <f t="shared" si="134"/>
        <v>0</v>
      </c>
      <c r="BD79" s="15" t="b">
        <f t="shared" si="135"/>
        <v>0</v>
      </c>
      <c r="BE79" s="15">
        <f t="shared" si="136"/>
        <v>-0.126651002792993</v>
      </c>
      <c r="BF79" s="103">
        <f t="shared" si="137"/>
        <v>0</v>
      </c>
      <c r="BG79" s="103">
        <f t="shared" si="143"/>
        <v>0</v>
      </c>
      <c r="BH79" s="104">
        <f t="shared" si="149"/>
        <v>74</v>
      </c>
      <c r="BI79" s="105">
        <f t="shared" si="138"/>
        <v>0</v>
      </c>
      <c r="BJ79" s="94">
        <v>2</v>
      </c>
      <c r="BK79" s="60">
        <f t="shared" si="150"/>
        <v>0</v>
      </c>
      <c r="BL79" s="106">
        <f t="shared" si="144"/>
        <v>0</v>
      </c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"/>
      <c r="FC79" s="1"/>
      <c r="FD79" s="1"/>
      <c r="FE79" s="1"/>
      <c r="FF79" s="1"/>
    </row>
    <row r="80" spans="1:162" ht="12.75">
      <c r="A80" s="15"/>
      <c r="B80" s="15"/>
      <c r="C80" s="15"/>
      <c r="D80" s="15"/>
      <c r="E80" s="15"/>
      <c r="F80" s="15">
        <f t="shared" si="145"/>
        <v>75</v>
      </c>
      <c r="G80" s="15">
        <f t="shared" si="139"/>
        <v>1.275</v>
      </c>
      <c r="H80" s="88">
        <v>1</v>
      </c>
      <c r="I80" s="15">
        <f t="shared" si="110"/>
        <v>-12</v>
      </c>
      <c r="J80" s="15">
        <f t="shared" si="106"/>
        <v>35.075625</v>
      </c>
      <c r="K80" s="15">
        <f t="shared" si="107"/>
        <v>1.9228884523029386</v>
      </c>
      <c r="L80" s="15">
        <f t="shared" si="151"/>
        <v>7</v>
      </c>
      <c r="M80" s="15">
        <f t="shared" si="108"/>
        <v>1.275</v>
      </c>
      <c r="N80" s="15">
        <f t="shared" si="109"/>
        <v>1.849386029186547</v>
      </c>
      <c r="O80" s="15">
        <f t="shared" si="111"/>
        <v>0.7853981633974483</v>
      </c>
      <c r="P80" s="15">
        <f t="shared" si="152"/>
        <v>7.6499999999999995</v>
      </c>
      <c r="Q80" s="15">
        <f t="shared" si="153"/>
        <v>0</v>
      </c>
      <c r="R80" s="15">
        <f t="shared" si="112"/>
        <v>0.2749999999999999</v>
      </c>
      <c r="S80" s="110">
        <f t="shared" si="97"/>
        <v>8.710398163397448</v>
      </c>
      <c r="T80" s="111">
        <f t="shared" si="146"/>
        <v>1.275</v>
      </c>
      <c r="U80" s="112">
        <f t="shared" si="98"/>
        <v>8.710398163397448</v>
      </c>
      <c r="V80" s="15"/>
      <c r="W80" s="88">
        <f t="shared" si="140"/>
        <v>14.40000000000001</v>
      </c>
      <c r="X80" s="88">
        <f t="shared" si="141"/>
        <v>94.4</v>
      </c>
      <c r="Y80" s="56">
        <f t="shared" si="142"/>
        <v>-0.08607102715466386</v>
      </c>
      <c r="Z80" s="56">
        <f t="shared" si="113"/>
        <v>-0.08607102715466386</v>
      </c>
      <c r="AA80" s="15">
        <f t="shared" si="154"/>
        <v>1.0000510204081632</v>
      </c>
      <c r="AB80" s="15">
        <f t="shared" si="115"/>
        <v>-11.984484699612077</v>
      </c>
      <c r="AC80" s="15">
        <f t="shared" si="99"/>
        <v>36.179550276024784</v>
      </c>
      <c r="AD80" s="15">
        <f t="shared" si="100"/>
        <v>0</v>
      </c>
      <c r="AE80" s="15">
        <f t="shared" si="101"/>
        <v>5.9919366387530415</v>
      </c>
      <c r="AF80" s="15">
        <f t="shared" si="116"/>
        <v>-0.1288705745743283</v>
      </c>
      <c r="AG80" s="15">
        <f t="shared" si="117"/>
        <v>1.5707963267948966</v>
      </c>
      <c r="AH80" s="56">
        <f t="shared" si="118"/>
        <v>-0.12892817001180656</v>
      </c>
      <c r="AI80" s="15">
        <f t="shared" si="119"/>
        <v>0.7853981633974483</v>
      </c>
      <c r="AJ80" s="15">
        <f t="shared" si="120"/>
        <v>0</v>
      </c>
      <c r="AK80" s="57">
        <f t="shared" si="121"/>
        <v>0</v>
      </c>
      <c r="AL80" s="57">
        <f t="shared" si="102"/>
        <v>0</v>
      </c>
      <c r="AM80" s="58">
        <f t="shared" si="103"/>
        <v>-250.04994380165382</v>
      </c>
      <c r="AN80" s="59">
        <f t="shared" si="104"/>
        <v>0</v>
      </c>
      <c r="AO80" s="60">
        <f t="shared" si="105"/>
        <v>-256.0499438016538</v>
      </c>
      <c r="AP80" s="59">
        <f t="shared" si="122"/>
        <v>0</v>
      </c>
      <c r="AQ80" s="59">
        <f t="shared" si="123"/>
        <v>0</v>
      </c>
      <c r="AR80" s="61">
        <f t="shared" si="124"/>
        <v>0</v>
      </c>
      <c r="AS80" s="59">
        <f t="shared" si="125"/>
        <v>0</v>
      </c>
      <c r="AT80" s="60">
        <f t="shared" si="126"/>
        <v>-250.04994380165382</v>
      </c>
      <c r="AU80" s="59">
        <f t="shared" si="148"/>
        <v>0</v>
      </c>
      <c r="AV80" s="60">
        <f t="shared" si="127"/>
        <v>-250.04994380165382</v>
      </c>
      <c r="AW80" s="59">
        <f t="shared" si="128"/>
        <v>0</v>
      </c>
      <c r="AX80" s="59">
        <f t="shared" si="129"/>
        <v>0</v>
      </c>
      <c r="AY80" s="59">
        <f t="shared" si="130"/>
        <v>0</v>
      </c>
      <c r="AZ80" s="59">
        <f t="shared" si="131"/>
        <v>0</v>
      </c>
      <c r="BA80" s="59">
        <f t="shared" si="132"/>
        <v>0</v>
      </c>
      <c r="BB80" s="60" t="b">
        <f t="shared" si="133"/>
        <v>0</v>
      </c>
      <c r="BC80" s="60" t="b">
        <f t="shared" si="134"/>
        <v>0</v>
      </c>
      <c r="BD80" s="15" t="b">
        <f t="shared" si="135"/>
        <v>0</v>
      </c>
      <c r="BE80" s="15">
        <f t="shared" si="136"/>
        <v>-0.1288705745743283</v>
      </c>
      <c r="BF80" s="103">
        <f t="shared" si="137"/>
        <v>0</v>
      </c>
      <c r="BG80" s="103">
        <f t="shared" si="143"/>
        <v>0</v>
      </c>
      <c r="BH80" s="104">
        <f t="shared" si="149"/>
        <v>75</v>
      </c>
      <c r="BI80" s="105">
        <f t="shared" si="138"/>
        <v>0</v>
      </c>
      <c r="BJ80" s="94">
        <v>4</v>
      </c>
      <c r="BK80" s="60">
        <f t="shared" si="150"/>
        <v>0</v>
      </c>
      <c r="BL80" s="106">
        <f t="shared" si="144"/>
        <v>0</v>
      </c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"/>
      <c r="FC80" s="1"/>
      <c r="FD80" s="1"/>
      <c r="FE80" s="1"/>
      <c r="FF80" s="1"/>
    </row>
    <row r="81" spans="1:162" ht="12.75">
      <c r="A81" s="15"/>
      <c r="B81" s="15"/>
      <c r="C81" s="15"/>
      <c r="D81" s="15"/>
      <c r="E81" s="15"/>
      <c r="F81" s="15">
        <f t="shared" si="145"/>
        <v>76</v>
      </c>
      <c r="G81" s="15">
        <f t="shared" si="139"/>
        <v>1.2919999999999998</v>
      </c>
      <c r="H81" s="88">
        <v>1</v>
      </c>
      <c r="I81" s="15">
        <f t="shared" si="110"/>
        <v>-12</v>
      </c>
      <c r="J81" s="15">
        <f t="shared" si="106"/>
        <v>35.085263999999995</v>
      </c>
      <c r="K81" s="15">
        <f t="shared" si="107"/>
        <v>1.9128366370393526</v>
      </c>
      <c r="L81" s="15">
        <f t="shared" si="151"/>
        <v>7</v>
      </c>
      <c r="M81" s="15">
        <f t="shared" si="108"/>
        <v>1.2919999999999998</v>
      </c>
      <c r="N81" s="15">
        <f t="shared" si="109"/>
        <v>1.867113634151703</v>
      </c>
      <c r="O81" s="15">
        <f t="shared" si="111"/>
        <v>0.7853981633974483</v>
      </c>
      <c r="P81" s="15">
        <f t="shared" si="152"/>
        <v>7.751999999999999</v>
      </c>
      <c r="Q81" s="15">
        <f t="shared" si="153"/>
        <v>0</v>
      </c>
      <c r="R81" s="15">
        <f t="shared" si="112"/>
        <v>0.2919999999999998</v>
      </c>
      <c r="S81" s="110">
        <f t="shared" si="97"/>
        <v>8.829398163397448</v>
      </c>
      <c r="T81" s="111">
        <f t="shared" si="146"/>
        <v>1.292</v>
      </c>
      <c r="U81" s="112">
        <f t="shared" si="98"/>
        <v>8.829398163397448</v>
      </c>
      <c r="V81" s="15"/>
      <c r="W81" s="88">
        <f t="shared" si="140"/>
        <v>14.59200000000001</v>
      </c>
      <c r="X81" s="88">
        <f t="shared" si="141"/>
        <v>94.59200000000001</v>
      </c>
      <c r="Y81" s="56">
        <f t="shared" si="142"/>
        <v>-0.08829558675796978</v>
      </c>
      <c r="Z81" s="56">
        <f t="shared" si="113"/>
        <v>-0.08829558675796978</v>
      </c>
      <c r="AA81" s="15">
        <f t="shared" si="154"/>
        <v>1.0000510204081632</v>
      </c>
      <c r="AB81" s="15">
        <f t="shared" si="115"/>
        <v>-11.984452920189172</v>
      </c>
      <c r="AC81" s="15">
        <f t="shared" si="99"/>
        <v>36.18438728415687</v>
      </c>
      <c r="AD81" s="15">
        <f t="shared" si="100"/>
        <v>0</v>
      </c>
      <c r="AE81" s="15">
        <f t="shared" si="101"/>
        <v>5.991920749852247</v>
      </c>
      <c r="AF81" s="15">
        <f t="shared" si="116"/>
        <v>-0.13109502068548567</v>
      </c>
      <c r="AG81" s="15">
        <f t="shared" si="117"/>
        <v>1.5707963267948966</v>
      </c>
      <c r="AH81" s="56">
        <f t="shared" si="118"/>
        <v>-0.13115272961511248</v>
      </c>
      <c r="AI81" s="15">
        <f t="shared" si="119"/>
        <v>0.7853981633974483</v>
      </c>
      <c r="AJ81" s="15">
        <f t="shared" si="120"/>
        <v>0</v>
      </c>
      <c r="AK81" s="57">
        <f t="shared" si="121"/>
        <v>0</v>
      </c>
      <c r="AL81" s="57">
        <f aca="true" t="shared" si="155" ref="AL81:AL105">IF(AND(h&lt;=Y81,AH81&gt;=h),h*bz,0)</f>
        <v>0</v>
      </c>
      <c r="AM81" s="58">
        <f aca="true" t="shared" si="156" ref="AM81:AM105">(h-Y81)/DT</f>
        <v>-250.36138214611665</v>
      </c>
      <c r="AN81" s="59">
        <f aca="true" t="shared" si="157" ref="AN81:AN105">IF(AND(Y81&gt;0,Y81&lt;h,AH81&gt;=h),bz*h-(h-Y81)*AM81/2,0)</f>
        <v>0</v>
      </c>
      <c r="AO81" s="60">
        <f aca="true" t="shared" si="158" ref="AO81:AO105">(h-AH81)/DT</f>
        <v>-256.3613821461166</v>
      </c>
      <c r="AP81" s="59">
        <f t="shared" si="122"/>
        <v>0</v>
      </c>
      <c r="AQ81" s="59">
        <f t="shared" si="123"/>
        <v>0</v>
      </c>
      <c r="AR81" s="61">
        <f t="shared" si="124"/>
        <v>0</v>
      </c>
      <c r="AS81" s="59">
        <f t="shared" si="125"/>
        <v>0</v>
      </c>
      <c r="AT81" s="60">
        <f t="shared" si="126"/>
        <v>-250.36138214611665</v>
      </c>
      <c r="AU81" s="59">
        <f t="shared" si="148"/>
        <v>0</v>
      </c>
      <c r="AV81" s="60">
        <f t="shared" si="127"/>
        <v>-250.36138214611665</v>
      </c>
      <c r="AW81" s="59">
        <f t="shared" si="128"/>
        <v>0</v>
      </c>
      <c r="AX81" s="59">
        <f t="shared" si="129"/>
        <v>0</v>
      </c>
      <c r="AY81" s="59">
        <f t="shared" si="130"/>
        <v>0</v>
      </c>
      <c r="AZ81" s="59">
        <f t="shared" si="131"/>
        <v>0</v>
      </c>
      <c r="BA81" s="59">
        <f t="shared" si="132"/>
        <v>0</v>
      </c>
      <c r="BB81" s="60" t="b">
        <f t="shared" si="133"/>
        <v>0</v>
      </c>
      <c r="BC81" s="60" t="b">
        <f t="shared" si="134"/>
        <v>0</v>
      </c>
      <c r="BD81" s="15" t="b">
        <f t="shared" si="135"/>
        <v>0</v>
      </c>
      <c r="BE81" s="15">
        <f t="shared" si="136"/>
        <v>-0.13109502068548567</v>
      </c>
      <c r="BF81" s="103">
        <f t="shared" si="137"/>
        <v>0</v>
      </c>
      <c r="BG81" s="103">
        <f t="shared" si="143"/>
        <v>0</v>
      </c>
      <c r="BH81" s="104">
        <f t="shared" si="149"/>
        <v>76</v>
      </c>
      <c r="BI81" s="105">
        <f t="shared" si="138"/>
        <v>0</v>
      </c>
      <c r="BJ81" s="94">
        <v>2</v>
      </c>
      <c r="BK81" s="60">
        <f t="shared" si="150"/>
        <v>0</v>
      </c>
      <c r="BL81" s="106">
        <f t="shared" si="144"/>
        <v>0</v>
      </c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"/>
      <c r="FC81" s="1"/>
      <c r="FD81" s="1"/>
      <c r="FE81" s="1"/>
      <c r="FF81" s="1"/>
    </row>
    <row r="82" spans="1:162" ht="12.75">
      <c r="A82" s="15"/>
      <c r="B82" s="15"/>
      <c r="C82" s="15"/>
      <c r="D82" s="15"/>
      <c r="E82" s="15"/>
      <c r="F82" s="15">
        <f t="shared" si="145"/>
        <v>77</v>
      </c>
      <c r="G82" s="15">
        <f t="shared" si="139"/>
        <v>1.3090000000000002</v>
      </c>
      <c r="H82" s="88">
        <v>1</v>
      </c>
      <c r="I82" s="15">
        <f t="shared" si="110"/>
        <v>-12</v>
      </c>
      <c r="J82" s="15">
        <f t="shared" si="106"/>
        <v>35.095481</v>
      </c>
      <c r="K82" s="15">
        <f t="shared" si="107"/>
        <v>1.9021240758688698</v>
      </c>
      <c r="L82" s="15">
        <f t="shared" si="151"/>
        <v>7</v>
      </c>
      <c r="M82" s="15">
        <f t="shared" si="108"/>
        <v>1.3090000000000002</v>
      </c>
      <c r="N82" s="15">
        <f t="shared" si="109"/>
        <v>1.8849377232624662</v>
      </c>
      <c r="O82" s="15">
        <f t="shared" si="111"/>
        <v>0.7853981633974483</v>
      </c>
      <c r="P82" s="15">
        <f t="shared" si="152"/>
        <v>7.854000000000001</v>
      </c>
      <c r="Q82" s="15">
        <f t="shared" si="153"/>
        <v>0</v>
      </c>
      <c r="R82" s="15">
        <f t="shared" si="112"/>
        <v>0.30900000000000016</v>
      </c>
      <c r="S82" s="110">
        <f t="shared" si="97"/>
        <v>8.94839816339745</v>
      </c>
      <c r="T82" s="111">
        <f t="shared" si="146"/>
        <v>1.309</v>
      </c>
      <c r="U82" s="112">
        <f t="shared" si="98"/>
        <v>8.94839816339745</v>
      </c>
      <c r="V82" s="15"/>
      <c r="W82" s="88">
        <f t="shared" si="140"/>
        <v>14.78400000000001</v>
      </c>
      <c r="X82" s="88">
        <f t="shared" si="141"/>
        <v>94.784</v>
      </c>
      <c r="Y82" s="56">
        <f t="shared" si="142"/>
        <v>-0.09052502093978809</v>
      </c>
      <c r="Z82" s="56">
        <f t="shared" si="113"/>
        <v>-0.09052502093978809</v>
      </c>
      <c r="AA82" s="15">
        <f t="shared" si="154"/>
        <v>1.0000510204081632</v>
      </c>
      <c r="AB82" s="15">
        <f t="shared" si="115"/>
        <v>-11.984421071129432</v>
      </c>
      <c r="AC82" s="15">
        <f t="shared" si="99"/>
        <v>36.18924482129573</v>
      </c>
      <c r="AD82" s="15">
        <f t="shared" si="100"/>
        <v>0</v>
      </c>
      <c r="AE82" s="15">
        <f t="shared" si="101"/>
        <v>5.991904826134812</v>
      </c>
      <c r="AF82" s="15">
        <f t="shared" si="116"/>
        <v>-0.13332434112646518</v>
      </c>
      <c r="AG82" s="15">
        <f t="shared" si="117"/>
        <v>1.5707963267948966</v>
      </c>
      <c r="AH82" s="56">
        <f t="shared" si="118"/>
        <v>-0.1333821637969308</v>
      </c>
      <c r="AI82" s="15">
        <f t="shared" si="119"/>
        <v>0.7853981633974483</v>
      </c>
      <c r="AJ82" s="15">
        <f t="shared" si="120"/>
        <v>0</v>
      </c>
      <c r="AK82" s="57">
        <f t="shared" si="121"/>
        <v>0</v>
      </c>
      <c r="AL82" s="57">
        <f t="shared" si="155"/>
        <v>0</v>
      </c>
      <c r="AM82" s="58">
        <f t="shared" si="156"/>
        <v>-250.67350293157122</v>
      </c>
      <c r="AN82" s="59">
        <f t="shared" si="157"/>
        <v>0</v>
      </c>
      <c r="AO82" s="60">
        <f t="shared" si="158"/>
        <v>-256.6735029315712</v>
      </c>
      <c r="AP82" s="59">
        <f t="shared" si="122"/>
        <v>0</v>
      </c>
      <c r="AQ82" s="59">
        <f t="shared" si="123"/>
        <v>0</v>
      </c>
      <c r="AR82" s="61">
        <f t="shared" si="124"/>
        <v>0</v>
      </c>
      <c r="AS82" s="59">
        <f t="shared" si="125"/>
        <v>0</v>
      </c>
      <c r="AT82" s="60">
        <f t="shared" si="126"/>
        <v>-250.67350293157122</v>
      </c>
      <c r="AU82" s="59">
        <f t="shared" si="148"/>
        <v>0</v>
      </c>
      <c r="AV82" s="60">
        <f t="shared" si="127"/>
        <v>-250.67350293157122</v>
      </c>
      <c r="AW82" s="59">
        <f t="shared" si="128"/>
        <v>0</v>
      </c>
      <c r="AX82" s="59">
        <f t="shared" si="129"/>
        <v>0</v>
      </c>
      <c r="AY82" s="59">
        <f t="shared" si="130"/>
        <v>0</v>
      </c>
      <c r="AZ82" s="59">
        <f t="shared" si="131"/>
        <v>0</v>
      </c>
      <c r="BA82" s="59">
        <f t="shared" si="132"/>
        <v>0</v>
      </c>
      <c r="BB82" s="60" t="b">
        <f t="shared" si="133"/>
        <v>0</v>
      </c>
      <c r="BC82" s="60" t="b">
        <f t="shared" si="134"/>
        <v>0</v>
      </c>
      <c r="BD82" s="15" t="b">
        <f t="shared" si="135"/>
        <v>0</v>
      </c>
      <c r="BE82" s="15">
        <f t="shared" si="136"/>
        <v>-0.13332434112646518</v>
      </c>
      <c r="BF82" s="103">
        <f t="shared" si="137"/>
        <v>0</v>
      </c>
      <c r="BG82" s="103">
        <f t="shared" si="143"/>
        <v>0</v>
      </c>
      <c r="BH82" s="104">
        <f t="shared" si="149"/>
        <v>77</v>
      </c>
      <c r="BI82" s="105">
        <f t="shared" si="138"/>
        <v>0</v>
      </c>
      <c r="BJ82" s="94">
        <v>4</v>
      </c>
      <c r="BK82" s="60">
        <f t="shared" si="150"/>
        <v>0</v>
      </c>
      <c r="BL82" s="106">
        <f t="shared" si="144"/>
        <v>0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"/>
      <c r="FC82" s="1"/>
      <c r="FD82" s="1"/>
      <c r="FE82" s="1"/>
      <c r="FF82" s="1"/>
    </row>
    <row r="83" spans="1:162" ht="12.75">
      <c r="A83" s="15"/>
      <c r="B83" s="15"/>
      <c r="C83" s="15"/>
      <c r="D83" s="15"/>
      <c r="E83" s="15"/>
      <c r="F83" s="15">
        <f t="shared" si="145"/>
        <v>78</v>
      </c>
      <c r="G83" s="15">
        <f t="shared" si="139"/>
        <v>1.3259999999999998</v>
      </c>
      <c r="H83" s="88">
        <v>1</v>
      </c>
      <c r="I83" s="15">
        <f t="shared" si="110"/>
        <v>-12</v>
      </c>
      <c r="J83" s="15">
        <f t="shared" si="106"/>
        <v>35.106276</v>
      </c>
      <c r="K83" s="15">
        <f t="shared" si="107"/>
        <v>1.8907395378528464</v>
      </c>
      <c r="L83" s="15">
        <f t="shared" si="151"/>
        <v>7</v>
      </c>
      <c r="M83" s="15">
        <f t="shared" si="108"/>
        <v>1.3259999999999998</v>
      </c>
      <c r="N83" s="15">
        <f t="shared" si="109"/>
        <v>1.9028656493861147</v>
      </c>
      <c r="O83" s="15">
        <f t="shared" si="111"/>
        <v>0.7853981633974483</v>
      </c>
      <c r="P83" s="15">
        <f t="shared" si="152"/>
        <v>7.9559999999999995</v>
      </c>
      <c r="Q83" s="15">
        <f t="shared" si="153"/>
        <v>0</v>
      </c>
      <c r="R83" s="15">
        <f t="shared" si="112"/>
        <v>0.32599999999999985</v>
      </c>
      <c r="S83" s="110">
        <f t="shared" si="97"/>
        <v>9.06739816339745</v>
      </c>
      <c r="T83" s="111">
        <f t="shared" si="146"/>
        <v>1.326</v>
      </c>
      <c r="U83" s="112">
        <f t="shared" si="98"/>
        <v>9.06739816339745</v>
      </c>
      <c r="V83" s="15"/>
      <c r="W83" s="88">
        <f t="shared" si="140"/>
        <v>14.97600000000001</v>
      </c>
      <c r="X83" s="88">
        <f t="shared" si="141"/>
        <v>94.97600000000001</v>
      </c>
      <c r="Y83" s="56">
        <f t="shared" si="142"/>
        <v>-0.0927593297001188</v>
      </c>
      <c r="Z83" s="56">
        <f t="shared" si="113"/>
        <v>-0.0927593297001188</v>
      </c>
      <c r="AA83" s="15">
        <f t="shared" si="154"/>
        <v>1.0000510204081632</v>
      </c>
      <c r="AB83" s="15">
        <f t="shared" si="115"/>
        <v>-11.984389152432856</v>
      </c>
      <c r="AC83" s="15">
        <f t="shared" si="99"/>
        <v>36.19412295264665</v>
      </c>
      <c r="AD83" s="15">
        <f t="shared" si="100"/>
        <v>0</v>
      </c>
      <c r="AE83" s="15">
        <f t="shared" si="101"/>
        <v>5.991888867600735</v>
      </c>
      <c r="AF83" s="15">
        <f t="shared" si="116"/>
        <v>-0.13555853589726674</v>
      </c>
      <c r="AG83" s="15">
        <f t="shared" si="117"/>
        <v>1.5707963267948966</v>
      </c>
      <c r="AH83" s="56">
        <f t="shared" si="118"/>
        <v>-0.1356164725572615</v>
      </c>
      <c r="AI83" s="15">
        <f t="shared" si="119"/>
        <v>0.7853981633974483</v>
      </c>
      <c r="AJ83" s="15">
        <f t="shared" si="120"/>
        <v>0</v>
      </c>
      <c r="AK83" s="57">
        <f t="shared" si="121"/>
        <v>0</v>
      </c>
      <c r="AL83" s="57">
        <f t="shared" si="155"/>
        <v>0</v>
      </c>
      <c r="AM83" s="58">
        <f t="shared" si="156"/>
        <v>-250.98630615801753</v>
      </c>
      <c r="AN83" s="59">
        <f t="shared" si="157"/>
        <v>0</v>
      </c>
      <c r="AO83" s="60">
        <f t="shared" si="158"/>
        <v>-256.9863061580175</v>
      </c>
      <c r="AP83" s="59">
        <f t="shared" si="122"/>
        <v>0</v>
      </c>
      <c r="AQ83" s="59">
        <f t="shared" si="123"/>
        <v>0</v>
      </c>
      <c r="AR83" s="61">
        <f t="shared" si="124"/>
        <v>0</v>
      </c>
      <c r="AS83" s="59">
        <f t="shared" si="125"/>
        <v>0</v>
      </c>
      <c r="AT83" s="60">
        <f t="shared" si="126"/>
        <v>-250.98630615801753</v>
      </c>
      <c r="AU83" s="59">
        <f t="shared" si="148"/>
        <v>0</v>
      </c>
      <c r="AV83" s="60">
        <f t="shared" si="127"/>
        <v>-250.98630615801753</v>
      </c>
      <c r="AW83" s="59">
        <f t="shared" si="128"/>
        <v>0</v>
      </c>
      <c r="AX83" s="59">
        <f t="shared" si="129"/>
        <v>0</v>
      </c>
      <c r="AY83" s="59">
        <f t="shared" si="130"/>
        <v>0</v>
      </c>
      <c r="AZ83" s="59">
        <f t="shared" si="131"/>
        <v>0</v>
      </c>
      <c r="BA83" s="59">
        <f t="shared" si="132"/>
        <v>0</v>
      </c>
      <c r="BB83" s="60" t="b">
        <f t="shared" si="133"/>
        <v>0</v>
      </c>
      <c r="BC83" s="60" t="b">
        <f t="shared" si="134"/>
        <v>0</v>
      </c>
      <c r="BD83" s="15" t="b">
        <f t="shared" si="135"/>
        <v>0</v>
      </c>
      <c r="BE83" s="15">
        <f t="shared" si="136"/>
        <v>-0.13555853589726674</v>
      </c>
      <c r="BF83" s="103">
        <f t="shared" si="137"/>
        <v>0</v>
      </c>
      <c r="BG83" s="103">
        <f t="shared" si="143"/>
        <v>0</v>
      </c>
      <c r="BH83" s="104">
        <f t="shared" si="149"/>
        <v>78</v>
      </c>
      <c r="BI83" s="105">
        <f t="shared" si="138"/>
        <v>0</v>
      </c>
      <c r="BJ83" s="51">
        <v>2</v>
      </c>
      <c r="BK83" s="60">
        <f t="shared" si="150"/>
        <v>0</v>
      </c>
      <c r="BL83" s="106">
        <f t="shared" si="144"/>
        <v>0</v>
      </c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"/>
      <c r="FC83" s="1"/>
      <c r="FD83" s="1"/>
      <c r="FE83" s="1"/>
      <c r="FF83" s="1"/>
    </row>
    <row r="84" spans="1:162" ht="12.75">
      <c r="A84" s="15"/>
      <c r="B84" s="15"/>
      <c r="C84" s="15"/>
      <c r="D84" s="15"/>
      <c r="E84" s="15"/>
      <c r="F84" s="15">
        <f t="shared" si="145"/>
        <v>79</v>
      </c>
      <c r="G84" s="15">
        <f t="shared" si="139"/>
        <v>1.3429999999999997</v>
      </c>
      <c r="H84" s="88">
        <v>1</v>
      </c>
      <c r="I84" s="15">
        <f t="shared" si="110"/>
        <v>-12</v>
      </c>
      <c r="J84" s="15">
        <f t="shared" si="106"/>
        <v>35.117649</v>
      </c>
      <c r="K84" s="15">
        <f t="shared" si="107"/>
        <v>1.878670806714151</v>
      </c>
      <c r="L84" s="15">
        <f t="shared" si="151"/>
        <v>7</v>
      </c>
      <c r="M84" s="15">
        <f t="shared" si="108"/>
        <v>1.3429999999999997</v>
      </c>
      <c r="N84" s="15">
        <f t="shared" si="109"/>
        <v>1.9209051170253386</v>
      </c>
      <c r="O84" s="15">
        <f t="shared" si="111"/>
        <v>0.7853981633974483</v>
      </c>
      <c r="P84" s="15">
        <f t="shared" si="152"/>
        <v>8.057999999999998</v>
      </c>
      <c r="Q84" s="15">
        <f t="shared" si="153"/>
        <v>0</v>
      </c>
      <c r="R84" s="15">
        <f t="shared" si="112"/>
        <v>0.34299999999999975</v>
      </c>
      <c r="S84" s="110">
        <f t="shared" si="97"/>
        <v>9.186398163397445</v>
      </c>
      <c r="T84" s="111">
        <f t="shared" si="146"/>
        <v>1.343</v>
      </c>
      <c r="U84" s="112">
        <f t="shared" si="98"/>
        <v>9.186398163397445</v>
      </c>
      <c r="V84" s="15"/>
      <c r="W84" s="88">
        <f t="shared" si="140"/>
        <v>15.16800000000001</v>
      </c>
      <c r="X84" s="88">
        <f t="shared" si="141"/>
        <v>95.168</v>
      </c>
      <c r="Y84" s="56">
        <f t="shared" si="142"/>
        <v>-0.09499851303896101</v>
      </c>
      <c r="Z84" s="56">
        <f t="shared" si="113"/>
        <v>-0.09499851303896101</v>
      </c>
      <c r="AA84" s="15">
        <f t="shared" si="154"/>
        <v>1.0000510204081632</v>
      </c>
      <c r="AB84" s="15">
        <f t="shared" si="115"/>
        <v>-11.984357164099443</v>
      </c>
      <c r="AC84" s="15">
        <f t="shared" si="99"/>
        <v>36.19902174355754</v>
      </c>
      <c r="AD84" s="15">
        <f t="shared" si="100"/>
        <v>0</v>
      </c>
      <c r="AE84" s="15">
        <f t="shared" si="101"/>
        <v>5.991872874250015</v>
      </c>
      <c r="AF84" s="15">
        <f t="shared" si="116"/>
        <v>-0.13779760499788954</v>
      </c>
      <c r="AG84" s="15">
        <f t="shared" si="117"/>
        <v>1.5707963267948966</v>
      </c>
      <c r="AH84" s="56">
        <f t="shared" si="118"/>
        <v>-0.1378556558961037</v>
      </c>
      <c r="AI84" s="15">
        <f t="shared" si="119"/>
        <v>0.7853981633974483</v>
      </c>
      <c r="AJ84" s="15">
        <f t="shared" si="120"/>
        <v>0</v>
      </c>
      <c r="AK84" s="57">
        <f t="shared" si="121"/>
        <v>0</v>
      </c>
      <c r="AL84" s="57">
        <f t="shared" si="155"/>
        <v>0</v>
      </c>
      <c r="AM84" s="58">
        <f t="shared" si="156"/>
        <v>-251.29979182545543</v>
      </c>
      <c r="AN84" s="59">
        <f t="shared" si="157"/>
        <v>0</v>
      </c>
      <c r="AO84" s="60">
        <f t="shared" si="158"/>
        <v>-257.29979182545543</v>
      </c>
      <c r="AP84" s="59">
        <f t="shared" si="122"/>
        <v>0</v>
      </c>
      <c r="AQ84" s="59">
        <f t="shared" si="123"/>
        <v>0</v>
      </c>
      <c r="AR84" s="61">
        <f t="shared" si="124"/>
        <v>0</v>
      </c>
      <c r="AS84" s="59">
        <f t="shared" si="125"/>
        <v>0</v>
      </c>
      <c r="AT84" s="60">
        <f t="shared" si="126"/>
        <v>-251.29979182545543</v>
      </c>
      <c r="AU84" s="59">
        <f t="shared" si="148"/>
        <v>0</v>
      </c>
      <c r="AV84" s="60">
        <f t="shared" si="127"/>
        <v>-251.29979182545543</v>
      </c>
      <c r="AW84" s="59">
        <f t="shared" si="128"/>
        <v>0</v>
      </c>
      <c r="AX84" s="59">
        <f t="shared" si="129"/>
        <v>0</v>
      </c>
      <c r="AY84" s="59">
        <f t="shared" si="130"/>
        <v>0</v>
      </c>
      <c r="AZ84" s="59">
        <f t="shared" si="131"/>
        <v>0</v>
      </c>
      <c r="BA84" s="59">
        <f t="shared" si="132"/>
        <v>0</v>
      </c>
      <c r="BB84" s="60" t="b">
        <f t="shared" si="133"/>
        <v>0</v>
      </c>
      <c r="BC84" s="60" t="b">
        <f t="shared" si="134"/>
        <v>0</v>
      </c>
      <c r="BD84" s="15" t="b">
        <f t="shared" si="135"/>
        <v>0</v>
      </c>
      <c r="BE84" s="15">
        <f t="shared" si="136"/>
        <v>-0.13779760499788954</v>
      </c>
      <c r="BF84" s="103">
        <f t="shared" si="137"/>
        <v>0</v>
      </c>
      <c r="BG84" s="103">
        <f t="shared" si="143"/>
        <v>0</v>
      </c>
      <c r="BH84" s="104">
        <f t="shared" si="149"/>
        <v>79</v>
      </c>
      <c r="BI84" s="105">
        <f t="shared" si="138"/>
        <v>0</v>
      </c>
      <c r="BJ84" s="51">
        <v>4</v>
      </c>
      <c r="BK84" s="60">
        <f t="shared" si="150"/>
        <v>0</v>
      </c>
      <c r="BL84" s="106">
        <f t="shared" si="144"/>
        <v>0</v>
      </c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"/>
      <c r="FC84" s="1"/>
      <c r="FD84" s="1"/>
      <c r="FE84" s="1"/>
      <c r="FF84" s="1"/>
    </row>
    <row r="85" spans="1:162" ht="12.75">
      <c r="A85" s="15"/>
      <c r="B85" s="15"/>
      <c r="C85" s="15"/>
      <c r="D85" s="15"/>
      <c r="E85" s="15"/>
      <c r="F85" s="15">
        <f t="shared" si="145"/>
        <v>80</v>
      </c>
      <c r="G85" s="15">
        <f t="shared" si="139"/>
        <v>1.36</v>
      </c>
      <c r="H85" s="88">
        <v>1</v>
      </c>
      <c r="I85" s="15">
        <f t="shared" si="110"/>
        <v>-12</v>
      </c>
      <c r="J85" s="15">
        <f t="shared" si="106"/>
        <v>35.1296</v>
      </c>
      <c r="K85" s="15">
        <f t="shared" si="107"/>
        <v>1.8659046063504925</v>
      </c>
      <c r="L85" s="15">
        <f t="shared" si="151"/>
        <v>7</v>
      </c>
      <c r="M85" s="15">
        <f t="shared" si="108"/>
        <v>1.36</v>
      </c>
      <c r="N85" s="15">
        <f t="shared" si="109"/>
        <v>1.9390642202315367</v>
      </c>
      <c r="O85" s="15">
        <f t="shared" si="111"/>
        <v>0.7853981633974483</v>
      </c>
      <c r="P85" s="15">
        <f t="shared" si="152"/>
        <v>8.16</v>
      </c>
      <c r="Q85" s="15">
        <f t="shared" si="153"/>
        <v>0</v>
      </c>
      <c r="R85" s="15">
        <f t="shared" si="112"/>
        <v>0.3600000000000001</v>
      </c>
      <c r="S85" s="110">
        <f t="shared" si="97"/>
        <v>9.305398163397449</v>
      </c>
      <c r="T85" s="111">
        <f t="shared" si="146"/>
        <v>1.36</v>
      </c>
      <c r="U85" s="112">
        <f t="shared" si="98"/>
        <v>9.305398163397449</v>
      </c>
      <c r="V85" s="15"/>
      <c r="W85" s="88">
        <f t="shared" si="140"/>
        <v>15.36000000000001</v>
      </c>
      <c r="X85" s="88">
        <f t="shared" si="141"/>
        <v>95.36000000000001</v>
      </c>
      <c r="Y85" s="56">
        <f t="shared" si="142"/>
        <v>-0.0972425709563165</v>
      </c>
      <c r="Z85" s="56">
        <f t="shared" si="113"/>
        <v>-0.0972425709563165</v>
      </c>
      <c r="AA85" s="15">
        <f t="shared" si="154"/>
        <v>1.0000510204081632</v>
      </c>
      <c r="AB85" s="15">
        <f t="shared" si="115"/>
        <v>-11.984325106129196</v>
      </c>
      <c r="AC85" s="15">
        <f t="shared" si="99"/>
        <v>36.20394125951883</v>
      </c>
      <c r="AD85" s="15">
        <f t="shared" si="100"/>
        <v>0</v>
      </c>
      <c r="AE85" s="15">
        <f t="shared" si="101"/>
        <v>5.991856846082656</v>
      </c>
      <c r="AF85" s="15">
        <f t="shared" si="116"/>
        <v>-0.14004154842833533</v>
      </c>
      <c r="AG85" s="15">
        <f t="shared" si="117"/>
        <v>1.5707963267948966</v>
      </c>
      <c r="AH85" s="56">
        <f t="shared" si="118"/>
        <v>-0.1400997138134592</v>
      </c>
      <c r="AI85" s="15">
        <f t="shared" si="119"/>
        <v>0.7853981633974483</v>
      </c>
      <c r="AJ85" s="15">
        <f t="shared" si="120"/>
        <v>0</v>
      </c>
      <c r="AK85" s="57">
        <f t="shared" si="121"/>
        <v>0</v>
      </c>
      <c r="AL85" s="57">
        <f t="shared" si="155"/>
        <v>0</v>
      </c>
      <c r="AM85" s="58">
        <f t="shared" si="156"/>
        <v>-251.61395993388518</v>
      </c>
      <c r="AN85" s="59">
        <f t="shared" si="157"/>
        <v>0</v>
      </c>
      <c r="AO85" s="60">
        <f t="shared" si="158"/>
        <v>-257.6139599338852</v>
      </c>
      <c r="AP85" s="59">
        <f t="shared" si="122"/>
        <v>0</v>
      </c>
      <c r="AQ85" s="59">
        <f t="shared" si="123"/>
        <v>0</v>
      </c>
      <c r="AR85" s="61">
        <f t="shared" si="124"/>
        <v>0</v>
      </c>
      <c r="AS85" s="59">
        <f t="shared" si="125"/>
        <v>0</v>
      </c>
      <c r="AT85" s="60">
        <f t="shared" si="126"/>
        <v>-251.61395993388518</v>
      </c>
      <c r="AU85" s="59">
        <f t="shared" si="148"/>
        <v>0</v>
      </c>
      <c r="AV85" s="60">
        <f t="shared" si="127"/>
        <v>-251.61395993388518</v>
      </c>
      <c r="AW85" s="59">
        <f t="shared" si="128"/>
        <v>0</v>
      </c>
      <c r="AX85" s="59">
        <f t="shared" si="129"/>
        <v>0</v>
      </c>
      <c r="AY85" s="59">
        <f t="shared" si="130"/>
        <v>0</v>
      </c>
      <c r="AZ85" s="59">
        <f t="shared" si="131"/>
        <v>0</v>
      </c>
      <c r="BA85" s="59">
        <f t="shared" si="132"/>
        <v>0</v>
      </c>
      <c r="BB85" s="60" t="b">
        <f t="shared" si="133"/>
        <v>0</v>
      </c>
      <c r="BC85" s="60" t="b">
        <f t="shared" si="134"/>
        <v>0</v>
      </c>
      <c r="BD85" s="15" t="b">
        <f t="shared" si="135"/>
        <v>0</v>
      </c>
      <c r="BE85" s="15">
        <f t="shared" si="136"/>
        <v>-0.14004154842833533</v>
      </c>
      <c r="BF85" s="103">
        <f t="shared" si="137"/>
        <v>0</v>
      </c>
      <c r="BG85" s="103">
        <f t="shared" si="143"/>
        <v>0</v>
      </c>
      <c r="BH85" s="104">
        <f t="shared" si="149"/>
        <v>80</v>
      </c>
      <c r="BI85" s="105">
        <f t="shared" si="138"/>
        <v>0</v>
      </c>
      <c r="BJ85" s="51">
        <v>2</v>
      </c>
      <c r="BK85" s="60">
        <f t="shared" si="150"/>
        <v>0</v>
      </c>
      <c r="BL85" s="106">
        <f t="shared" si="144"/>
        <v>0</v>
      </c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"/>
      <c r="FC85" s="1"/>
      <c r="FD85" s="1"/>
      <c r="FE85" s="1"/>
      <c r="FF85" s="1"/>
    </row>
    <row r="86" spans="1:162" ht="12.75">
      <c r="A86" s="15"/>
      <c r="B86" s="15"/>
      <c r="C86" s="15"/>
      <c r="D86" s="15"/>
      <c r="E86" s="15"/>
      <c r="F86" s="15">
        <f t="shared" si="145"/>
        <v>81</v>
      </c>
      <c r="G86" s="15">
        <f t="shared" si="139"/>
        <v>1.3769999999999998</v>
      </c>
      <c r="H86" s="88">
        <v>1</v>
      </c>
      <c r="I86" s="15">
        <f t="shared" si="110"/>
        <v>-12</v>
      </c>
      <c r="J86" s="15">
        <f t="shared" si="106"/>
        <v>35.142129000000004</v>
      </c>
      <c r="K86" s="15">
        <f t="shared" si="107"/>
        <v>1.8524265167611869</v>
      </c>
      <c r="L86" s="15">
        <f t="shared" si="151"/>
        <v>7</v>
      </c>
      <c r="M86" s="15">
        <f t="shared" si="108"/>
        <v>1.3769999999999998</v>
      </c>
      <c r="N86" s="15">
        <f t="shared" si="109"/>
        <v>1.9573514847780427</v>
      </c>
      <c r="O86" s="15">
        <f t="shared" si="111"/>
        <v>0.7853981633974483</v>
      </c>
      <c r="P86" s="15">
        <f t="shared" si="152"/>
        <v>8.261999999999999</v>
      </c>
      <c r="Q86" s="15">
        <f t="shared" si="153"/>
        <v>0</v>
      </c>
      <c r="R86" s="15">
        <f t="shared" si="112"/>
        <v>0.3769999999999998</v>
      </c>
      <c r="S86" s="110">
        <f t="shared" si="97"/>
        <v>9.424398163397445</v>
      </c>
      <c r="T86" s="111">
        <f t="shared" si="146"/>
        <v>1.377</v>
      </c>
      <c r="U86" s="112">
        <f t="shared" si="98"/>
        <v>9.424398163397445</v>
      </c>
      <c r="V86" s="15"/>
      <c r="W86" s="88">
        <f t="shared" si="140"/>
        <v>15.55200000000001</v>
      </c>
      <c r="X86" s="88">
        <f t="shared" si="141"/>
        <v>95.552</v>
      </c>
      <c r="Y86" s="56">
        <f t="shared" si="142"/>
        <v>-0.09949150345218438</v>
      </c>
      <c r="Z86" s="56">
        <f t="shared" si="113"/>
        <v>-0.09949150345218438</v>
      </c>
      <c r="AA86" s="15">
        <f t="shared" si="154"/>
        <v>1.0000510204081632</v>
      </c>
      <c r="AB86" s="15">
        <f t="shared" si="115"/>
        <v>-11.984292978522111</v>
      </c>
      <c r="AC86" s="15">
        <f t="shared" si="99"/>
        <v>36.20888156616355</v>
      </c>
      <c r="AD86" s="15">
        <f t="shared" si="100"/>
        <v>0</v>
      </c>
      <c r="AE86" s="15">
        <f t="shared" si="101"/>
        <v>5.991840783098653</v>
      </c>
      <c r="AF86" s="15">
        <f t="shared" si="116"/>
        <v>-0.1422903661886032</v>
      </c>
      <c r="AG86" s="15">
        <f t="shared" si="117"/>
        <v>1.5707963267948966</v>
      </c>
      <c r="AH86" s="56">
        <f t="shared" si="118"/>
        <v>-0.1423486463093271</v>
      </c>
      <c r="AI86" s="15">
        <f t="shared" si="119"/>
        <v>0.7853981633974483</v>
      </c>
      <c r="AJ86" s="15">
        <f t="shared" si="120"/>
        <v>0</v>
      </c>
      <c r="AK86" s="57">
        <f t="shared" si="121"/>
        <v>0</v>
      </c>
      <c r="AL86" s="57">
        <f t="shared" si="155"/>
        <v>0</v>
      </c>
      <c r="AM86" s="58">
        <f t="shared" si="156"/>
        <v>-251.9288104833067</v>
      </c>
      <c r="AN86" s="59">
        <f t="shared" si="157"/>
        <v>0</v>
      </c>
      <c r="AO86" s="60">
        <f t="shared" si="158"/>
        <v>-257.9288104833067</v>
      </c>
      <c r="AP86" s="59">
        <f t="shared" si="122"/>
        <v>0</v>
      </c>
      <c r="AQ86" s="59">
        <f t="shared" si="123"/>
        <v>0</v>
      </c>
      <c r="AR86" s="61">
        <f t="shared" si="124"/>
        <v>0</v>
      </c>
      <c r="AS86" s="59">
        <f t="shared" si="125"/>
        <v>0</v>
      </c>
      <c r="AT86" s="60">
        <f t="shared" si="126"/>
        <v>-251.9288104833067</v>
      </c>
      <c r="AU86" s="59">
        <f t="shared" si="148"/>
        <v>0</v>
      </c>
      <c r="AV86" s="60">
        <f t="shared" si="127"/>
        <v>-251.9288104833067</v>
      </c>
      <c r="AW86" s="59">
        <f t="shared" si="128"/>
        <v>0</v>
      </c>
      <c r="AX86" s="59">
        <f t="shared" si="129"/>
        <v>0</v>
      </c>
      <c r="AY86" s="59">
        <f t="shared" si="130"/>
        <v>0</v>
      </c>
      <c r="AZ86" s="59">
        <f t="shared" si="131"/>
        <v>0</v>
      </c>
      <c r="BA86" s="59">
        <f t="shared" si="132"/>
        <v>0</v>
      </c>
      <c r="BB86" s="60" t="b">
        <f t="shared" si="133"/>
        <v>0</v>
      </c>
      <c r="BC86" s="60" t="b">
        <f t="shared" si="134"/>
        <v>0</v>
      </c>
      <c r="BD86" s="15" t="b">
        <f t="shared" si="135"/>
        <v>0</v>
      </c>
      <c r="BE86" s="15">
        <f t="shared" si="136"/>
        <v>-0.1422903661886032</v>
      </c>
      <c r="BF86" s="103">
        <f t="shared" si="137"/>
        <v>0</v>
      </c>
      <c r="BG86" s="103">
        <f t="shared" si="143"/>
        <v>0</v>
      </c>
      <c r="BH86" s="104">
        <f t="shared" si="149"/>
        <v>81</v>
      </c>
      <c r="BI86" s="105">
        <f t="shared" si="138"/>
        <v>0</v>
      </c>
      <c r="BJ86" s="51">
        <v>4</v>
      </c>
      <c r="BK86" s="60">
        <f t="shared" si="150"/>
        <v>0</v>
      </c>
      <c r="BL86" s="106">
        <f t="shared" si="144"/>
        <v>0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"/>
      <c r="FC86" s="1"/>
      <c r="FD86" s="1"/>
      <c r="FE86" s="1"/>
      <c r="FF86" s="1"/>
    </row>
    <row r="87" spans="1:162" ht="12.75">
      <c r="A87" s="15"/>
      <c r="B87" s="15"/>
      <c r="C87" s="15"/>
      <c r="D87" s="15"/>
      <c r="E87" s="15"/>
      <c r="F87" s="15">
        <f t="shared" si="145"/>
        <v>82</v>
      </c>
      <c r="G87" s="15">
        <f t="shared" si="139"/>
        <v>1.3940000000000001</v>
      </c>
      <c r="H87" s="88">
        <v>1</v>
      </c>
      <c r="I87" s="15">
        <f t="shared" si="110"/>
        <v>-12</v>
      </c>
      <c r="J87" s="15">
        <f t="shared" si="106"/>
        <v>35.155236</v>
      </c>
      <c r="K87" s="15">
        <f t="shared" si="107"/>
        <v>1.838220879002301</v>
      </c>
      <c r="L87" s="15">
        <f t="shared" si="151"/>
        <v>7</v>
      </c>
      <c r="M87" s="15">
        <f t="shared" si="108"/>
        <v>1.3940000000000001</v>
      </c>
      <c r="N87" s="15">
        <f t="shared" si="109"/>
        <v>1.9757759152621237</v>
      </c>
      <c r="O87" s="15">
        <f t="shared" si="111"/>
        <v>0.7853981633974483</v>
      </c>
      <c r="P87" s="15">
        <f t="shared" si="152"/>
        <v>8.364</v>
      </c>
      <c r="Q87" s="15">
        <f t="shared" si="153"/>
        <v>0</v>
      </c>
      <c r="R87" s="15">
        <f t="shared" si="112"/>
        <v>0.39400000000000013</v>
      </c>
      <c r="S87" s="110">
        <f t="shared" si="97"/>
        <v>9.54339816339745</v>
      </c>
      <c r="T87" s="111">
        <f t="shared" si="146"/>
        <v>1.394</v>
      </c>
      <c r="U87" s="112">
        <f t="shared" si="98"/>
        <v>9.54339816339745</v>
      </c>
      <c r="V87" s="15"/>
      <c r="W87" s="88">
        <f t="shared" si="140"/>
        <v>15.74400000000001</v>
      </c>
      <c r="X87" s="88">
        <f t="shared" si="141"/>
        <v>95.74400000000001</v>
      </c>
      <c r="Y87" s="56">
        <f t="shared" si="142"/>
        <v>-0.10174531052656466</v>
      </c>
      <c r="Z87" s="56">
        <f t="shared" si="113"/>
        <v>-0.10174531052656466</v>
      </c>
      <c r="AA87" s="15">
        <f t="shared" si="154"/>
        <v>1.0000510204081632</v>
      </c>
      <c r="AB87" s="15">
        <f t="shared" si="115"/>
        <v>-11.984260781278191</v>
      </c>
      <c r="AC87" s="15">
        <f t="shared" si="99"/>
        <v>36.21384272926728</v>
      </c>
      <c r="AD87" s="15">
        <f t="shared" si="100"/>
        <v>0</v>
      </c>
      <c r="AE87" s="15">
        <f t="shared" si="101"/>
        <v>5.99182468529801</v>
      </c>
      <c r="AF87" s="15">
        <f t="shared" si="116"/>
        <v>-0.14454405827869315</v>
      </c>
      <c r="AG87" s="15">
        <f t="shared" si="117"/>
        <v>1.5707963267948966</v>
      </c>
      <c r="AH87" s="56">
        <f t="shared" si="118"/>
        <v>-0.14460245338370736</v>
      </c>
      <c r="AI87" s="15">
        <f t="shared" si="119"/>
        <v>0.7853981633974483</v>
      </c>
      <c r="AJ87" s="15">
        <f t="shared" si="120"/>
        <v>0</v>
      </c>
      <c r="AK87" s="57">
        <f t="shared" si="121"/>
        <v>0</v>
      </c>
      <c r="AL87" s="57">
        <f t="shared" si="155"/>
        <v>0</v>
      </c>
      <c r="AM87" s="58">
        <f t="shared" si="156"/>
        <v>-252.24434347371994</v>
      </c>
      <c r="AN87" s="59">
        <f t="shared" si="157"/>
        <v>0</v>
      </c>
      <c r="AO87" s="60">
        <f t="shared" si="158"/>
        <v>-258.24434347371994</v>
      </c>
      <c r="AP87" s="59">
        <f t="shared" si="122"/>
        <v>0</v>
      </c>
      <c r="AQ87" s="59">
        <f t="shared" si="123"/>
        <v>0</v>
      </c>
      <c r="AR87" s="61">
        <f t="shared" si="124"/>
        <v>0</v>
      </c>
      <c r="AS87" s="59">
        <f t="shared" si="125"/>
        <v>0</v>
      </c>
      <c r="AT87" s="60">
        <f t="shared" si="126"/>
        <v>-252.24434347371994</v>
      </c>
      <c r="AU87" s="59">
        <f t="shared" si="148"/>
        <v>0</v>
      </c>
      <c r="AV87" s="60">
        <f t="shared" si="127"/>
        <v>-252.24434347371994</v>
      </c>
      <c r="AW87" s="59">
        <f t="shared" si="128"/>
        <v>0</v>
      </c>
      <c r="AX87" s="59">
        <f t="shared" si="129"/>
        <v>0</v>
      </c>
      <c r="AY87" s="59">
        <f t="shared" si="130"/>
        <v>0</v>
      </c>
      <c r="AZ87" s="59">
        <f t="shared" si="131"/>
        <v>0</v>
      </c>
      <c r="BA87" s="59">
        <f t="shared" si="132"/>
        <v>0</v>
      </c>
      <c r="BB87" s="60" t="b">
        <f t="shared" si="133"/>
        <v>0</v>
      </c>
      <c r="BC87" s="60" t="b">
        <f t="shared" si="134"/>
        <v>0</v>
      </c>
      <c r="BD87" s="15" t="b">
        <f t="shared" si="135"/>
        <v>0</v>
      </c>
      <c r="BE87" s="15">
        <f t="shared" si="136"/>
        <v>-0.14454405827869315</v>
      </c>
      <c r="BF87" s="103">
        <f t="shared" si="137"/>
        <v>0</v>
      </c>
      <c r="BG87" s="103">
        <f t="shared" si="143"/>
        <v>0</v>
      </c>
      <c r="BH87" s="104">
        <f t="shared" si="149"/>
        <v>82</v>
      </c>
      <c r="BI87" s="105">
        <f t="shared" si="138"/>
        <v>0</v>
      </c>
      <c r="BJ87" s="51">
        <v>2</v>
      </c>
      <c r="BK87" s="60">
        <f t="shared" si="150"/>
        <v>0</v>
      </c>
      <c r="BL87" s="106">
        <f t="shared" si="144"/>
        <v>0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"/>
      <c r="FC87" s="1"/>
      <c r="FD87" s="1"/>
      <c r="FE87" s="1"/>
      <c r="FF87" s="1"/>
    </row>
    <row r="88" spans="1:162" ht="12.75">
      <c r="A88" s="15"/>
      <c r="B88" s="15"/>
      <c r="C88" s="15"/>
      <c r="D88" s="15"/>
      <c r="E88" s="15"/>
      <c r="F88" s="15">
        <f t="shared" si="145"/>
        <v>83</v>
      </c>
      <c r="G88" s="15">
        <f t="shared" si="139"/>
        <v>1.411</v>
      </c>
      <c r="H88" s="88">
        <v>1</v>
      </c>
      <c r="I88" s="15">
        <f t="shared" si="110"/>
        <v>-12</v>
      </c>
      <c r="J88" s="15">
        <f t="shared" si="106"/>
        <v>35.168921</v>
      </c>
      <c r="K88" s="15">
        <f t="shared" si="107"/>
        <v>1.8232706875283249</v>
      </c>
      <c r="L88" s="15">
        <f t="shared" si="151"/>
        <v>7</v>
      </c>
      <c r="M88" s="15">
        <f t="shared" si="108"/>
        <v>1.411</v>
      </c>
      <c r="N88" s="15">
        <f t="shared" si="109"/>
        <v>1.9943470479258834</v>
      </c>
      <c r="O88" s="15">
        <f t="shared" si="111"/>
        <v>0.7853981633974483</v>
      </c>
      <c r="P88" s="15">
        <f t="shared" si="152"/>
        <v>8.466000000000001</v>
      </c>
      <c r="Q88" s="15">
        <f t="shared" si="153"/>
        <v>0</v>
      </c>
      <c r="R88" s="15">
        <f t="shared" si="112"/>
        <v>0.41100000000000003</v>
      </c>
      <c r="S88" s="110">
        <f t="shared" si="97"/>
        <v>9.66239816339745</v>
      </c>
      <c r="T88" s="111">
        <f t="shared" si="146"/>
        <v>1.411</v>
      </c>
      <c r="U88" s="112">
        <f t="shared" si="98"/>
        <v>9.66239816339745</v>
      </c>
      <c r="V88" s="15"/>
      <c r="W88" s="88">
        <f t="shared" si="140"/>
        <v>15.93600000000001</v>
      </c>
      <c r="X88" s="88">
        <f t="shared" si="141"/>
        <v>95.936</v>
      </c>
      <c r="Y88" s="56">
        <f t="shared" si="142"/>
        <v>-0.10400399217945733</v>
      </c>
      <c r="Z88" s="56">
        <f t="shared" si="113"/>
        <v>-0.10400399217945733</v>
      </c>
      <c r="AA88" s="15">
        <f t="shared" si="154"/>
        <v>1.0000510204081632</v>
      </c>
      <c r="AB88" s="15">
        <f t="shared" si="115"/>
        <v>-11.984228514397437</v>
      </c>
      <c r="AC88" s="15">
        <f t="shared" si="99"/>
        <v>36.21882481474818</v>
      </c>
      <c r="AD88" s="15">
        <f t="shared" si="100"/>
        <v>0</v>
      </c>
      <c r="AE88" s="15">
        <f t="shared" si="101"/>
        <v>5.991808552680725</v>
      </c>
      <c r="AF88" s="15">
        <f t="shared" si="116"/>
        <v>-0.14680262469860522</v>
      </c>
      <c r="AG88" s="15">
        <f t="shared" si="117"/>
        <v>1.5707963267948966</v>
      </c>
      <c r="AH88" s="56">
        <f t="shared" si="118"/>
        <v>-0.14686113503660003</v>
      </c>
      <c r="AI88" s="15">
        <f t="shared" si="119"/>
        <v>0.7853981633974483</v>
      </c>
      <c r="AJ88" s="15">
        <f t="shared" si="120"/>
        <v>0</v>
      </c>
      <c r="AK88" s="57">
        <f t="shared" si="121"/>
        <v>0</v>
      </c>
      <c r="AL88" s="57">
        <f t="shared" si="155"/>
        <v>0</v>
      </c>
      <c r="AM88" s="58">
        <f t="shared" si="156"/>
        <v>-252.5605589051249</v>
      </c>
      <c r="AN88" s="59">
        <f t="shared" si="157"/>
        <v>0</v>
      </c>
      <c r="AO88" s="60">
        <f t="shared" si="158"/>
        <v>-258.56055890512494</v>
      </c>
      <c r="AP88" s="59">
        <f t="shared" si="122"/>
        <v>0</v>
      </c>
      <c r="AQ88" s="59">
        <f t="shared" si="123"/>
        <v>0</v>
      </c>
      <c r="AR88" s="61">
        <f t="shared" si="124"/>
        <v>0</v>
      </c>
      <c r="AS88" s="59">
        <f t="shared" si="125"/>
        <v>0</v>
      </c>
      <c r="AT88" s="60">
        <f t="shared" si="126"/>
        <v>-252.5605589051249</v>
      </c>
      <c r="AU88" s="59">
        <f t="shared" si="148"/>
        <v>0</v>
      </c>
      <c r="AV88" s="60">
        <f t="shared" si="127"/>
        <v>-252.5605589051249</v>
      </c>
      <c r="AW88" s="59">
        <f t="shared" si="128"/>
        <v>0</v>
      </c>
      <c r="AX88" s="59">
        <f t="shared" si="129"/>
        <v>0</v>
      </c>
      <c r="AY88" s="59">
        <f t="shared" si="130"/>
        <v>0</v>
      </c>
      <c r="AZ88" s="59">
        <f t="shared" si="131"/>
        <v>0</v>
      </c>
      <c r="BA88" s="59">
        <f t="shared" si="132"/>
        <v>0</v>
      </c>
      <c r="BB88" s="60" t="b">
        <f t="shared" si="133"/>
        <v>0</v>
      </c>
      <c r="BC88" s="60" t="b">
        <f t="shared" si="134"/>
        <v>0</v>
      </c>
      <c r="BD88" s="15" t="b">
        <f t="shared" si="135"/>
        <v>0</v>
      </c>
      <c r="BE88" s="15">
        <f t="shared" si="136"/>
        <v>-0.14680262469860522</v>
      </c>
      <c r="BF88" s="103">
        <f t="shared" si="137"/>
        <v>0</v>
      </c>
      <c r="BG88" s="103">
        <f t="shared" si="143"/>
        <v>0</v>
      </c>
      <c r="BH88" s="104">
        <f t="shared" si="149"/>
        <v>83</v>
      </c>
      <c r="BI88" s="105">
        <f t="shared" si="138"/>
        <v>0</v>
      </c>
      <c r="BJ88" s="51">
        <v>4</v>
      </c>
      <c r="BK88" s="60">
        <f t="shared" si="150"/>
        <v>0</v>
      </c>
      <c r="BL88" s="106">
        <f t="shared" si="144"/>
        <v>0</v>
      </c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"/>
      <c r="FC88" s="1"/>
      <c r="FD88" s="1"/>
      <c r="FE88" s="1"/>
      <c r="FF88" s="1"/>
    </row>
    <row r="89" spans="1:162" ht="12.75">
      <c r="A89" s="15"/>
      <c r="B89" s="15"/>
      <c r="C89" s="15"/>
      <c r="D89" s="15"/>
      <c r="E89" s="15"/>
      <c r="F89" s="15">
        <f t="shared" si="145"/>
        <v>84</v>
      </c>
      <c r="G89" s="15">
        <f t="shared" si="139"/>
        <v>1.428</v>
      </c>
      <c r="H89" s="88">
        <v>1</v>
      </c>
      <c r="I89" s="15">
        <f t="shared" si="110"/>
        <v>-12</v>
      </c>
      <c r="J89" s="15">
        <f t="shared" si="106"/>
        <v>35.183184</v>
      </c>
      <c r="K89" s="15">
        <f t="shared" si="107"/>
        <v>1.807557467966098</v>
      </c>
      <c r="L89" s="15">
        <f t="shared" si="151"/>
        <v>7</v>
      </c>
      <c r="M89" s="15">
        <f t="shared" si="108"/>
        <v>1.428</v>
      </c>
      <c r="N89" s="15">
        <f t="shared" si="109"/>
        <v>2.0130750101342465</v>
      </c>
      <c r="O89" s="15">
        <f t="shared" si="111"/>
        <v>0.7853981633974483</v>
      </c>
      <c r="P89" s="15">
        <f t="shared" si="152"/>
        <v>8.568</v>
      </c>
      <c r="Q89" s="15">
        <f t="shared" si="153"/>
        <v>0</v>
      </c>
      <c r="R89" s="15">
        <f t="shared" si="112"/>
        <v>0.42799999999999994</v>
      </c>
      <c r="S89" s="110">
        <f t="shared" si="97"/>
        <v>9.781398163397448</v>
      </c>
      <c r="T89" s="111">
        <f t="shared" si="146"/>
        <v>1.428</v>
      </c>
      <c r="U89" s="112">
        <f t="shared" si="98"/>
        <v>9.781398163397448</v>
      </c>
      <c r="V89" s="15"/>
      <c r="W89" s="88">
        <f t="shared" si="140"/>
        <v>16.12800000000001</v>
      </c>
      <c r="X89" s="88">
        <f t="shared" si="141"/>
        <v>96.12800000000001</v>
      </c>
      <c r="Y89" s="56">
        <f t="shared" si="142"/>
        <v>-0.10626754841086239</v>
      </c>
      <c r="Z89" s="56">
        <f t="shared" si="113"/>
        <v>-0.10626754841086239</v>
      </c>
      <c r="AA89" s="15">
        <f t="shared" si="154"/>
        <v>1.0000510204081632</v>
      </c>
      <c r="AB89" s="15">
        <f t="shared" si="115"/>
        <v>-11.984196177879845</v>
      </c>
      <c r="AC89" s="15">
        <f t="shared" si="99"/>
        <v>36.22382788866698</v>
      </c>
      <c r="AD89" s="15">
        <f t="shared" si="100"/>
        <v>0</v>
      </c>
      <c r="AE89" s="15">
        <f t="shared" si="101"/>
        <v>5.991792385246798</v>
      </c>
      <c r="AF89" s="15">
        <f t="shared" si="116"/>
        <v>-0.14906606544833936</v>
      </c>
      <c r="AG89" s="15">
        <f t="shared" si="117"/>
        <v>1.5707963267948966</v>
      </c>
      <c r="AH89" s="56">
        <f t="shared" si="118"/>
        <v>-0.1491246912680051</v>
      </c>
      <c r="AI89" s="15">
        <f t="shared" si="119"/>
        <v>0.7853981633974483</v>
      </c>
      <c r="AJ89" s="15">
        <f t="shared" si="120"/>
        <v>0</v>
      </c>
      <c r="AK89" s="57">
        <f t="shared" si="121"/>
        <v>0</v>
      </c>
      <c r="AL89" s="57">
        <f t="shared" si="155"/>
        <v>0</v>
      </c>
      <c r="AM89" s="58">
        <f t="shared" si="156"/>
        <v>-252.87745677752162</v>
      </c>
      <c r="AN89" s="59">
        <f t="shared" si="157"/>
        <v>0</v>
      </c>
      <c r="AO89" s="60">
        <f t="shared" si="158"/>
        <v>-258.8774567775216</v>
      </c>
      <c r="AP89" s="59">
        <f t="shared" si="122"/>
        <v>0</v>
      </c>
      <c r="AQ89" s="59">
        <f t="shared" si="123"/>
        <v>0</v>
      </c>
      <c r="AR89" s="61">
        <f t="shared" si="124"/>
        <v>0</v>
      </c>
      <c r="AS89" s="59">
        <f t="shared" si="125"/>
        <v>0</v>
      </c>
      <c r="AT89" s="60">
        <f t="shared" si="126"/>
        <v>-252.87745677752162</v>
      </c>
      <c r="AU89" s="59">
        <f t="shared" si="148"/>
        <v>0</v>
      </c>
      <c r="AV89" s="60">
        <f t="shared" si="127"/>
        <v>-252.87745677752162</v>
      </c>
      <c r="AW89" s="59">
        <f t="shared" si="128"/>
        <v>0</v>
      </c>
      <c r="AX89" s="59">
        <f t="shared" si="129"/>
        <v>0</v>
      </c>
      <c r="AY89" s="59">
        <f t="shared" si="130"/>
        <v>0</v>
      </c>
      <c r="AZ89" s="59">
        <f t="shared" si="131"/>
        <v>0</v>
      </c>
      <c r="BA89" s="59">
        <f t="shared" si="132"/>
        <v>0</v>
      </c>
      <c r="BB89" s="60" t="b">
        <f t="shared" si="133"/>
        <v>0</v>
      </c>
      <c r="BC89" s="60" t="b">
        <f t="shared" si="134"/>
        <v>0</v>
      </c>
      <c r="BD89" s="15" t="b">
        <f t="shared" si="135"/>
        <v>0</v>
      </c>
      <c r="BE89" s="15">
        <f t="shared" si="136"/>
        <v>-0.14906606544833936</v>
      </c>
      <c r="BF89" s="103">
        <f t="shared" si="137"/>
        <v>0</v>
      </c>
      <c r="BG89" s="103">
        <f t="shared" si="143"/>
        <v>0</v>
      </c>
      <c r="BH89" s="104">
        <f t="shared" si="149"/>
        <v>84</v>
      </c>
      <c r="BI89" s="105">
        <f t="shared" si="138"/>
        <v>0</v>
      </c>
      <c r="BJ89" s="51">
        <v>2</v>
      </c>
      <c r="BK89" s="60">
        <f t="shared" si="150"/>
        <v>0</v>
      </c>
      <c r="BL89" s="106">
        <f t="shared" si="144"/>
        <v>0</v>
      </c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"/>
      <c r="FC89" s="1"/>
      <c r="FD89" s="1"/>
      <c r="FE89" s="1"/>
      <c r="FF89" s="1"/>
    </row>
    <row r="90" spans="1:162" ht="12.75">
      <c r="A90" s="15"/>
      <c r="B90" s="15"/>
      <c r="C90" s="15"/>
      <c r="D90" s="15"/>
      <c r="E90" s="15"/>
      <c r="F90" s="15">
        <f t="shared" si="145"/>
        <v>85</v>
      </c>
      <c r="G90" s="15">
        <f t="shared" si="139"/>
        <v>1.445</v>
      </c>
      <c r="H90" s="88">
        <v>1</v>
      </c>
      <c r="I90" s="15">
        <f t="shared" si="110"/>
        <v>-12</v>
      </c>
      <c r="J90" s="15">
        <f t="shared" si="106"/>
        <v>35.198025</v>
      </c>
      <c r="K90" s="15">
        <f t="shared" si="107"/>
        <v>1.7910611379849641</v>
      </c>
      <c r="L90" s="15">
        <f t="shared" si="151"/>
        <v>7</v>
      </c>
      <c r="M90" s="15">
        <f t="shared" si="108"/>
        <v>1.445</v>
      </c>
      <c r="N90" s="15">
        <f t="shared" si="109"/>
        <v>2.03197058762965</v>
      </c>
      <c r="O90" s="15">
        <f t="shared" si="111"/>
        <v>0.7853981633974483</v>
      </c>
      <c r="P90" s="15">
        <f t="shared" si="152"/>
        <v>8.67</v>
      </c>
      <c r="Q90" s="15">
        <f t="shared" si="153"/>
        <v>0</v>
      </c>
      <c r="R90" s="15">
        <f t="shared" si="112"/>
        <v>0.44500000000000006</v>
      </c>
      <c r="S90" s="110">
        <f t="shared" si="97"/>
        <v>9.900398163397448</v>
      </c>
      <c r="T90" s="111">
        <f t="shared" si="146"/>
        <v>1.445</v>
      </c>
      <c r="U90" s="112">
        <f t="shared" si="98"/>
        <v>9.900398163397448</v>
      </c>
      <c r="V90" s="15"/>
      <c r="W90" s="88">
        <f t="shared" si="140"/>
        <v>16.32000000000001</v>
      </c>
      <c r="X90" s="88">
        <f t="shared" si="141"/>
        <v>96.32000000000001</v>
      </c>
      <c r="Y90" s="56">
        <f t="shared" si="142"/>
        <v>-0.10853597922077896</v>
      </c>
      <c r="Z90" s="56">
        <f t="shared" si="113"/>
        <v>-0.10853597922077896</v>
      </c>
      <c r="AA90" s="15">
        <f t="shared" si="154"/>
        <v>1.0000510204081632</v>
      </c>
      <c r="AB90" s="15">
        <f t="shared" si="115"/>
        <v>-11.984163771725418</v>
      </c>
      <c r="AC90" s="15">
        <f t="shared" si="99"/>
        <v>36.22885201722697</v>
      </c>
      <c r="AD90" s="15">
        <f t="shared" si="100"/>
        <v>0</v>
      </c>
      <c r="AE90" s="15">
        <f t="shared" si="101"/>
        <v>5.99177618299623</v>
      </c>
      <c r="AF90" s="15">
        <f t="shared" si="116"/>
        <v>-0.15133438052789472</v>
      </c>
      <c r="AG90" s="15">
        <f t="shared" si="117"/>
        <v>1.5707963267948966</v>
      </c>
      <c r="AH90" s="56">
        <f t="shared" si="118"/>
        <v>-0.15139312207792166</v>
      </c>
      <c r="AI90" s="15">
        <f t="shared" si="119"/>
        <v>0.7853981633974483</v>
      </c>
      <c r="AJ90" s="15">
        <f t="shared" si="120"/>
        <v>0</v>
      </c>
      <c r="AK90" s="57">
        <f t="shared" si="121"/>
        <v>0</v>
      </c>
      <c r="AL90" s="57">
        <f t="shared" si="155"/>
        <v>0</v>
      </c>
      <c r="AM90" s="58">
        <f t="shared" si="156"/>
        <v>-253.19503709090995</v>
      </c>
      <c r="AN90" s="59">
        <f t="shared" si="157"/>
        <v>0</v>
      </c>
      <c r="AO90" s="60">
        <f t="shared" si="158"/>
        <v>-259.1950370909099</v>
      </c>
      <c r="AP90" s="59">
        <f t="shared" si="122"/>
        <v>0</v>
      </c>
      <c r="AQ90" s="59">
        <f t="shared" si="123"/>
        <v>0</v>
      </c>
      <c r="AR90" s="61">
        <f t="shared" si="124"/>
        <v>0</v>
      </c>
      <c r="AS90" s="59">
        <f t="shared" si="125"/>
        <v>0</v>
      </c>
      <c r="AT90" s="60">
        <f t="shared" si="126"/>
        <v>-253.19503709090995</v>
      </c>
      <c r="AU90" s="59">
        <f t="shared" si="148"/>
        <v>0</v>
      </c>
      <c r="AV90" s="60">
        <f t="shared" si="127"/>
        <v>-253.19503709090995</v>
      </c>
      <c r="AW90" s="59">
        <f t="shared" si="128"/>
        <v>0</v>
      </c>
      <c r="AX90" s="59">
        <f t="shared" si="129"/>
        <v>0</v>
      </c>
      <c r="AY90" s="59">
        <f t="shared" si="130"/>
        <v>0</v>
      </c>
      <c r="AZ90" s="59">
        <f t="shared" si="131"/>
        <v>0</v>
      </c>
      <c r="BA90" s="59">
        <f t="shared" si="132"/>
        <v>0</v>
      </c>
      <c r="BB90" s="60" t="b">
        <f t="shared" si="133"/>
        <v>0</v>
      </c>
      <c r="BC90" s="60" t="b">
        <f t="shared" si="134"/>
        <v>0</v>
      </c>
      <c r="BD90" s="15" t="b">
        <f t="shared" si="135"/>
        <v>0</v>
      </c>
      <c r="BE90" s="15">
        <f t="shared" si="136"/>
        <v>-0.15133438052789472</v>
      </c>
      <c r="BF90" s="103">
        <f t="shared" si="137"/>
        <v>0</v>
      </c>
      <c r="BG90" s="103">
        <f t="shared" si="143"/>
        <v>0</v>
      </c>
      <c r="BH90" s="104">
        <f t="shared" si="149"/>
        <v>85</v>
      </c>
      <c r="BI90" s="105">
        <f t="shared" si="138"/>
        <v>0</v>
      </c>
      <c r="BJ90" s="51">
        <v>4</v>
      </c>
      <c r="BK90" s="60">
        <f t="shared" si="150"/>
        <v>0</v>
      </c>
      <c r="BL90" s="106">
        <f t="shared" si="144"/>
        <v>0</v>
      </c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"/>
      <c r="FC90" s="1"/>
      <c r="FD90" s="1"/>
      <c r="FE90" s="1"/>
      <c r="FF90" s="1"/>
    </row>
    <row r="91" spans="1:162" ht="12.75">
      <c r="A91" s="15"/>
      <c r="B91" s="15"/>
      <c r="C91" s="15"/>
      <c r="D91" s="15"/>
      <c r="E91" s="15"/>
      <c r="F91" s="15">
        <f t="shared" si="145"/>
        <v>86</v>
      </c>
      <c r="G91" s="15">
        <f t="shared" si="139"/>
        <v>1.462</v>
      </c>
      <c r="H91" s="88">
        <v>1</v>
      </c>
      <c r="I91" s="15">
        <f t="shared" si="110"/>
        <v>-12</v>
      </c>
      <c r="J91" s="15">
        <f t="shared" si="106"/>
        <v>35.213444</v>
      </c>
      <c r="K91" s="15">
        <f t="shared" si="107"/>
        <v>1.7737598484575046</v>
      </c>
      <c r="L91" s="15">
        <f t="shared" si="151"/>
        <v>7</v>
      </c>
      <c r="M91" s="15">
        <f t="shared" si="108"/>
        <v>1.462</v>
      </c>
      <c r="N91" s="15">
        <f t="shared" si="109"/>
        <v>2.051045300906851</v>
      </c>
      <c r="O91" s="15">
        <f t="shared" si="111"/>
        <v>0.7853981633974483</v>
      </c>
      <c r="P91" s="15">
        <f t="shared" si="152"/>
        <v>8.772</v>
      </c>
      <c r="Q91" s="15">
        <f t="shared" si="153"/>
        <v>0</v>
      </c>
      <c r="R91" s="15">
        <f t="shared" si="112"/>
        <v>0.46199999999999997</v>
      </c>
      <c r="S91" s="110">
        <f t="shared" si="97"/>
        <v>10.019398163397447</v>
      </c>
      <c r="T91" s="111">
        <f t="shared" si="146"/>
        <v>1.462</v>
      </c>
      <c r="U91" s="112">
        <f t="shared" si="98"/>
        <v>10.019398163397447</v>
      </c>
      <c r="V91" s="15"/>
      <c r="W91" s="88">
        <f t="shared" si="140"/>
        <v>16.51200000000001</v>
      </c>
      <c r="X91" s="88">
        <f t="shared" si="141"/>
        <v>96.51200000000001</v>
      </c>
      <c r="Y91" s="56">
        <f t="shared" si="142"/>
        <v>-0.1108092846092088</v>
      </c>
      <c r="Z91" s="56">
        <f t="shared" si="113"/>
        <v>-0.1108092846092088</v>
      </c>
      <c r="AA91" s="15">
        <f t="shared" si="154"/>
        <v>1.0000510204081632</v>
      </c>
      <c r="AB91" s="15">
        <f t="shared" si="115"/>
        <v>-11.984131295934155</v>
      </c>
      <c r="AC91" s="15">
        <f t="shared" si="99"/>
        <v>36.23389726677402</v>
      </c>
      <c r="AD91" s="15">
        <f t="shared" si="100"/>
        <v>0</v>
      </c>
      <c r="AE91" s="15">
        <f t="shared" si="101"/>
        <v>5.9917599459290205</v>
      </c>
      <c r="AF91" s="15">
        <f t="shared" si="116"/>
        <v>-0.1536075699372731</v>
      </c>
      <c r="AG91" s="15">
        <f t="shared" si="117"/>
        <v>1.5707963267948966</v>
      </c>
      <c r="AH91" s="56">
        <f t="shared" si="118"/>
        <v>-0.1536664274663515</v>
      </c>
      <c r="AI91" s="15">
        <f t="shared" si="119"/>
        <v>0.7853981633974483</v>
      </c>
      <c r="AJ91" s="15">
        <f t="shared" si="120"/>
        <v>0</v>
      </c>
      <c r="AK91" s="57">
        <f t="shared" si="121"/>
        <v>0</v>
      </c>
      <c r="AL91" s="57">
        <f t="shared" si="155"/>
        <v>0</v>
      </c>
      <c r="AM91" s="58">
        <f t="shared" si="156"/>
        <v>-253.51329984529013</v>
      </c>
      <c r="AN91" s="59">
        <f t="shared" si="157"/>
        <v>0</v>
      </c>
      <c r="AO91" s="60">
        <f t="shared" si="158"/>
        <v>-259.51329984529013</v>
      </c>
      <c r="AP91" s="59">
        <f t="shared" si="122"/>
        <v>0</v>
      </c>
      <c r="AQ91" s="59">
        <f t="shared" si="123"/>
        <v>0</v>
      </c>
      <c r="AR91" s="61">
        <f t="shared" si="124"/>
        <v>0</v>
      </c>
      <c r="AS91" s="59">
        <f t="shared" si="125"/>
        <v>0</v>
      </c>
      <c r="AT91" s="60">
        <f t="shared" si="126"/>
        <v>-253.51329984529013</v>
      </c>
      <c r="AU91" s="59">
        <f t="shared" si="148"/>
        <v>0</v>
      </c>
      <c r="AV91" s="60">
        <f t="shared" si="127"/>
        <v>-253.51329984529013</v>
      </c>
      <c r="AW91" s="59">
        <f t="shared" si="128"/>
        <v>0</v>
      </c>
      <c r="AX91" s="59">
        <f t="shared" si="129"/>
        <v>0</v>
      </c>
      <c r="AY91" s="59">
        <f t="shared" si="130"/>
        <v>0</v>
      </c>
      <c r="AZ91" s="59">
        <f t="shared" si="131"/>
        <v>0</v>
      </c>
      <c r="BA91" s="59">
        <f t="shared" si="132"/>
        <v>0</v>
      </c>
      <c r="BB91" s="60" t="b">
        <f t="shared" si="133"/>
        <v>0</v>
      </c>
      <c r="BC91" s="60" t="b">
        <f t="shared" si="134"/>
        <v>0</v>
      </c>
      <c r="BD91" s="15" t="b">
        <f t="shared" si="135"/>
        <v>0</v>
      </c>
      <c r="BE91" s="15">
        <f t="shared" si="136"/>
        <v>-0.1536075699372731</v>
      </c>
      <c r="BF91" s="103">
        <f t="shared" si="137"/>
        <v>0</v>
      </c>
      <c r="BG91" s="103">
        <f t="shared" si="143"/>
        <v>0</v>
      </c>
      <c r="BH91" s="104">
        <f t="shared" si="149"/>
        <v>86</v>
      </c>
      <c r="BI91" s="105">
        <f t="shared" si="138"/>
        <v>0</v>
      </c>
      <c r="BJ91" s="51">
        <v>2</v>
      </c>
      <c r="BK91" s="60">
        <f t="shared" si="150"/>
        <v>0</v>
      </c>
      <c r="BL91" s="106">
        <f t="shared" si="144"/>
        <v>0</v>
      </c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"/>
      <c r="FC91" s="1"/>
      <c r="FD91" s="1"/>
      <c r="FE91" s="1"/>
      <c r="FF91" s="1"/>
    </row>
    <row r="92" spans="1:162" ht="12.75">
      <c r="A92" s="15"/>
      <c r="B92" s="15"/>
      <c r="C92" s="15"/>
      <c r="D92" s="15"/>
      <c r="E92" s="15"/>
      <c r="F92" s="15">
        <f t="shared" si="145"/>
        <v>87</v>
      </c>
      <c r="G92" s="15">
        <f t="shared" si="139"/>
        <v>1.479</v>
      </c>
      <c r="H92" s="88">
        <v>1</v>
      </c>
      <c r="I92" s="15">
        <f t="shared" si="110"/>
        <v>-12</v>
      </c>
      <c r="J92" s="15">
        <f t="shared" si="106"/>
        <v>35.229441</v>
      </c>
      <c r="K92" s="15">
        <f t="shared" si="107"/>
        <v>1.7556298015242264</v>
      </c>
      <c r="L92" s="15">
        <f t="shared" si="151"/>
        <v>7</v>
      </c>
      <c r="M92" s="15">
        <f t="shared" si="108"/>
        <v>1.479</v>
      </c>
      <c r="N92" s="15">
        <f t="shared" si="109"/>
        <v>2.0703114923287194</v>
      </c>
      <c r="O92" s="15">
        <f t="shared" si="111"/>
        <v>0.7853981633974483</v>
      </c>
      <c r="P92" s="15">
        <f t="shared" si="152"/>
        <v>8.874</v>
      </c>
      <c r="Q92" s="15">
        <f t="shared" si="153"/>
        <v>0</v>
      </c>
      <c r="R92" s="15">
        <f t="shared" si="112"/>
        <v>0.4790000000000001</v>
      </c>
      <c r="S92" s="110">
        <f t="shared" si="97"/>
        <v>10.138398163397447</v>
      </c>
      <c r="T92" s="111">
        <f t="shared" si="146"/>
        <v>1.479</v>
      </c>
      <c r="U92" s="112">
        <f t="shared" si="98"/>
        <v>10.138398163397447</v>
      </c>
      <c r="V92" s="15"/>
      <c r="W92" s="88">
        <f t="shared" si="140"/>
        <v>16.70400000000001</v>
      </c>
      <c r="X92" s="88">
        <f t="shared" si="141"/>
        <v>96.70400000000001</v>
      </c>
      <c r="Y92" s="56">
        <f t="shared" si="142"/>
        <v>-0.11308746457615104</v>
      </c>
      <c r="Z92" s="56">
        <f t="shared" si="113"/>
        <v>-0.11308746457615104</v>
      </c>
      <c r="AA92" s="15">
        <f t="shared" si="154"/>
        <v>1.0000510204081632</v>
      </c>
      <c r="AB92" s="15">
        <f t="shared" si="115"/>
        <v>-11.984098750506055</v>
      </c>
      <c r="AC92" s="15">
        <f t="shared" si="99"/>
        <v>36.238963703796564</v>
      </c>
      <c r="AD92" s="15">
        <f t="shared" si="100"/>
        <v>0</v>
      </c>
      <c r="AE92" s="15">
        <f t="shared" si="101"/>
        <v>5.991743674045169</v>
      </c>
      <c r="AF92" s="15">
        <f t="shared" si="116"/>
        <v>-0.1558856336764735</v>
      </c>
      <c r="AG92" s="15">
        <f t="shared" si="117"/>
        <v>1.5707963267948966</v>
      </c>
      <c r="AH92" s="56">
        <f t="shared" si="118"/>
        <v>-0.15594460743329375</v>
      </c>
      <c r="AI92" s="15">
        <f t="shared" si="119"/>
        <v>0.7853981633974483</v>
      </c>
      <c r="AJ92" s="15">
        <f t="shared" si="120"/>
        <v>0</v>
      </c>
      <c r="AK92" s="57">
        <f t="shared" si="121"/>
        <v>0</v>
      </c>
      <c r="AL92" s="57">
        <f t="shared" si="155"/>
        <v>0</v>
      </c>
      <c r="AM92" s="58">
        <f t="shared" si="156"/>
        <v>-253.83224504066203</v>
      </c>
      <c r="AN92" s="59">
        <f t="shared" si="157"/>
        <v>0</v>
      </c>
      <c r="AO92" s="60">
        <f t="shared" si="158"/>
        <v>-259.83224504066203</v>
      </c>
      <c r="AP92" s="59">
        <f t="shared" si="122"/>
        <v>0</v>
      </c>
      <c r="AQ92" s="59">
        <f t="shared" si="123"/>
        <v>0</v>
      </c>
      <c r="AR92" s="61">
        <f t="shared" si="124"/>
        <v>0</v>
      </c>
      <c r="AS92" s="59">
        <f t="shared" si="125"/>
        <v>0</v>
      </c>
      <c r="AT92" s="60">
        <f t="shared" si="126"/>
        <v>-253.83224504066203</v>
      </c>
      <c r="AU92" s="59">
        <f t="shared" si="148"/>
        <v>0</v>
      </c>
      <c r="AV92" s="60">
        <f t="shared" si="127"/>
        <v>-253.83224504066203</v>
      </c>
      <c r="AW92" s="59">
        <f t="shared" si="128"/>
        <v>0</v>
      </c>
      <c r="AX92" s="59">
        <f t="shared" si="129"/>
        <v>0</v>
      </c>
      <c r="AY92" s="59">
        <f t="shared" si="130"/>
        <v>0</v>
      </c>
      <c r="AZ92" s="59">
        <f t="shared" si="131"/>
        <v>0</v>
      </c>
      <c r="BA92" s="59">
        <f t="shared" si="132"/>
        <v>0</v>
      </c>
      <c r="BB92" s="60" t="b">
        <f t="shared" si="133"/>
        <v>0</v>
      </c>
      <c r="BC92" s="60" t="b">
        <f t="shared" si="134"/>
        <v>0</v>
      </c>
      <c r="BD92" s="15" t="b">
        <f t="shared" si="135"/>
        <v>0</v>
      </c>
      <c r="BE92" s="15">
        <f t="shared" si="136"/>
        <v>-0.1558856336764735</v>
      </c>
      <c r="BF92" s="103">
        <f t="shared" si="137"/>
        <v>0</v>
      </c>
      <c r="BG92" s="103">
        <f t="shared" si="143"/>
        <v>0</v>
      </c>
      <c r="BH92" s="104">
        <f t="shared" si="149"/>
        <v>87</v>
      </c>
      <c r="BI92" s="105">
        <f t="shared" si="138"/>
        <v>0</v>
      </c>
      <c r="BJ92" s="51">
        <v>4</v>
      </c>
      <c r="BK92" s="60">
        <f t="shared" si="150"/>
        <v>0</v>
      </c>
      <c r="BL92" s="106">
        <f t="shared" si="144"/>
        <v>0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"/>
      <c r="FC92" s="1"/>
      <c r="FD92" s="1"/>
      <c r="FE92" s="1"/>
      <c r="FF92" s="1"/>
    </row>
    <row r="93" spans="1:162" ht="12.75">
      <c r="A93" s="15"/>
      <c r="B93" s="15"/>
      <c r="C93" s="15"/>
      <c r="D93" s="15"/>
      <c r="E93" s="15"/>
      <c r="F93" s="15">
        <f t="shared" si="145"/>
        <v>88</v>
      </c>
      <c r="G93" s="15">
        <f t="shared" si="139"/>
        <v>1.496</v>
      </c>
      <c r="H93" s="88">
        <v>1</v>
      </c>
      <c r="I93" s="15">
        <f t="shared" si="110"/>
        <v>-12</v>
      </c>
      <c r="J93" s="15">
        <f t="shared" si="106"/>
        <v>35.246016000000004</v>
      </c>
      <c r="K93" s="15">
        <f t="shared" si="107"/>
        <v>1.7366450414520471</v>
      </c>
      <c r="L93" s="15">
        <f t="shared" si="151"/>
        <v>7</v>
      </c>
      <c r="M93" s="15">
        <f t="shared" si="108"/>
        <v>1.496</v>
      </c>
      <c r="N93" s="15">
        <f t="shared" si="109"/>
        <v>2.089782425950128</v>
      </c>
      <c r="O93" s="15">
        <f t="shared" si="111"/>
        <v>0.7853981633974483</v>
      </c>
      <c r="P93" s="15">
        <f t="shared" si="152"/>
        <v>8.975999999999999</v>
      </c>
      <c r="Q93" s="15">
        <f t="shared" si="153"/>
        <v>0</v>
      </c>
      <c r="R93" s="15">
        <f t="shared" si="112"/>
        <v>0.496</v>
      </c>
      <c r="S93" s="110">
        <f t="shared" si="97"/>
        <v>10.257398163397449</v>
      </c>
      <c r="T93" s="111">
        <f t="shared" si="146"/>
        <v>1.496</v>
      </c>
      <c r="U93" s="112">
        <f t="shared" si="98"/>
        <v>10.257398163397449</v>
      </c>
      <c r="V93" s="15"/>
      <c r="W93" s="88">
        <f t="shared" si="140"/>
        <v>16.89600000000001</v>
      </c>
      <c r="X93" s="88">
        <f t="shared" si="141"/>
        <v>96.89600000000002</v>
      </c>
      <c r="Y93" s="56">
        <f t="shared" si="142"/>
        <v>-0.11537051912160567</v>
      </c>
      <c r="Z93" s="56">
        <f t="shared" si="113"/>
        <v>-0.11537051912160567</v>
      </c>
      <c r="AA93" s="15">
        <f t="shared" si="154"/>
        <v>1.0000510204081632</v>
      </c>
      <c r="AB93" s="15">
        <f t="shared" si="115"/>
        <v>-11.98406613544112</v>
      </c>
      <c r="AC93" s="15">
        <f t="shared" si="99"/>
        <v>36.2440513949256</v>
      </c>
      <c r="AD93" s="15">
        <f t="shared" si="100"/>
        <v>0</v>
      </c>
      <c r="AE93" s="15">
        <f t="shared" si="101"/>
        <v>5.991727367344676</v>
      </c>
      <c r="AF93" s="15">
        <f t="shared" si="116"/>
        <v>-0.15816857174549606</v>
      </c>
      <c r="AG93" s="15">
        <f t="shared" si="117"/>
        <v>1.5707963267948966</v>
      </c>
      <c r="AH93" s="56">
        <f t="shared" si="118"/>
        <v>-0.15822766197874838</v>
      </c>
      <c r="AI93" s="15">
        <f t="shared" si="119"/>
        <v>0.7853981633974483</v>
      </c>
      <c r="AJ93" s="15">
        <f t="shared" si="120"/>
        <v>0</v>
      </c>
      <c r="AK93" s="57">
        <f t="shared" si="121"/>
        <v>0</v>
      </c>
      <c r="AL93" s="57">
        <f t="shared" si="155"/>
        <v>0</v>
      </c>
      <c r="AM93" s="58">
        <f t="shared" si="156"/>
        <v>-254.1518726770257</v>
      </c>
      <c r="AN93" s="59">
        <f t="shared" si="157"/>
        <v>0</v>
      </c>
      <c r="AO93" s="60">
        <f t="shared" si="158"/>
        <v>-260.15187267702566</v>
      </c>
      <c r="AP93" s="59">
        <f t="shared" si="122"/>
        <v>0</v>
      </c>
      <c r="AQ93" s="59">
        <f t="shared" si="123"/>
        <v>0</v>
      </c>
      <c r="AR93" s="61">
        <f t="shared" si="124"/>
        <v>0</v>
      </c>
      <c r="AS93" s="59">
        <f t="shared" si="125"/>
        <v>0</v>
      </c>
      <c r="AT93" s="60">
        <f t="shared" si="126"/>
        <v>-254.1518726770257</v>
      </c>
      <c r="AU93" s="59">
        <f t="shared" si="148"/>
        <v>0</v>
      </c>
      <c r="AV93" s="60">
        <f t="shared" si="127"/>
        <v>-254.1518726770257</v>
      </c>
      <c r="AW93" s="59">
        <f t="shared" si="128"/>
        <v>0</v>
      </c>
      <c r="AX93" s="59">
        <f t="shared" si="129"/>
        <v>0</v>
      </c>
      <c r="AY93" s="59">
        <f t="shared" si="130"/>
        <v>0</v>
      </c>
      <c r="AZ93" s="59">
        <f t="shared" si="131"/>
        <v>0</v>
      </c>
      <c r="BA93" s="59">
        <f t="shared" si="132"/>
        <v>0</v>
      </c>
      <c r="BB93" s="60" t="b">
        <f t="shared" si="133"/>
        <v>0</v>
      </c>
      <c r="BC93" s="60" t="b">
        <f t="shared" si="134"/>
        <v>0</v>
      </c>
      <c r="BD93" s="15" t="b">
        <f t="shared" si="135"/>
        <v>0</v>
      </c>
      <c r="BE93" s="15">
        <f t="shared" si="136"/>
        <v>-0.15816857174549606</v>
      </c>
      <c r="BF93" s="103">
        <f t="shared" si="137"/>
        <v>0</v>
      </c>
      <c r="BG93" s="103">
        <f t="shared" si="143"/>
        <v>0</v>
      </c>
      <c r="BH93" s="104">
        <f t="shared" si="149"/>
        <v>88</v>
      </c>
      <c r="BI93" s="105">
        <f t="shared" si="138"/>
        <v>0</v>
      </c>
      <c r="BJ93" s="51">
        <v>2</v>
      </c>
      <c r="BK93" s="60">
        <f t="shared" si="150"/>
        <v>0</v>
      </c>
      <c r="BL93" s="106">
        <f t="shared" si="144"/>
        <v>0</v>
      </c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"/>
      <c r="FC93" s="1"/>
      <c r="FD93" s="1"/>
      <c r="FE93" s="1"/>
      <c r="FF93" s="1"/>
    </row>
    <row r="94" spans="1:162" ht="12.75">
      <c r="A94" s="15"/>
      <c r="B94" s="15"/>
      <c r="C94" s="15"/>
      <c r="D94" s="15"/>
      <c r="E94" s="15"/>
      <c r="F94" s="15">
        <f t="shared" si="145"/>
        <v>89</v>
      </c>
      <c r="G94" s="15">
        <f t="shared" si="139"/>
        <v>1.513</v>
      </c>
      <c r="H94" s="88">
        <v>1</v>
      </c>
      <c r="I94" s="15">
        <f t="shared" si="110"/>
        <v>-12</v>
      </c>
      <c r="J94" s="15">
        <f t="shared" si="106"/>
        <v>35.263169000000005</v>
      </c>
      <c r="K94" s="15">
        <f t="shared" si="107"/>
        <v>1.7167772132690895</v>
      </c>
      <c r="L94" s="15">
        <f t="shared" si="151"/>
        <v>7</v>
      </c>
      <c r="M94" s="15">
        <f t="shared" si="108"/>
        <v>1.513</v>
      </c>
      <c r="N94" s="15">
        <f t="shared" si="109"/>
        <v>2.109472402451994</v>
      </c>
      <c r="O94" s="15">
        <f t="shared" si="111"/>
        <v>0.7853981633974483</v>
      </c>
      <c r="P94" s="15">
        <f t="shared" si="152"/>
        <v>9.078</v>
      </c>
      <c r="Q94" s="15">
        <f t="shared" si="153"/>
        <v>0</v>
      </c>
      <c r="R94" s="15">
        <f t="shared" si="112"/>
        <v>0.5129999999999999</v>
      </c>
      <c r="S94" s="110">
        <f t="shared" si="97"/>
        <v>10.376398163397448</v>
      </c>
      <c r="T94" s="111">
        <f t="shared" si="146"/>
        <v>1.513</v>
      </c>
      <c r="U94" s="112">
        <f t="shared" si="98"/>
        <v>10.376398163397448</v>
      </c>
      <c r="V94" s="15"/>
      <c r="W94" s="88">
        <f t="shared" si="140"/>
        <v>17.08800000000001</v>
      </c>
      <c r="X94" s="88">
        <f t="shared" si="141"/>
        <v>97.08800000000001</v>
      </c>
      <c r="Y94" s="56">
        <f t="shared" si="142"/>
        <v>-0.1176584482455727</v>
      </c>
      <c r="Z94" s="56">
        <f t="shared" si="113"/>
        <v>-0.1176584482455727</v>
      </c>
      <c r="AA94" s="15">
        <f t="shared" si="154"/>
        <v>1.0000510204081632</v>
      </c>
      <c r="AB94" s="15">
        <f t="shared" si="115"/>
        <v>-11.984033450739348</v>
      </c>
      <c r="AC94" s="15">
        <f t="shared" si="99"/>
        <v>36.249160406934706</v>
      </c>
      <c r="AD94" s="15">
        <f t="shared" si="100"/>
        <v>0</v>
      </c>
      <c r="AE94" s="15">
        <f t="shared" si="101"/>
        <v>5.991711025827541</v>
      </c>
      <c r="AF94" s="15">
        <f t="shared" si="116"/>
        <v>-0.16045638414434069</v>
      </c>
      <c r="AG94" s="15">
        <f t="shared" si="117"/>
        <v>1.5707963267948966</v>
      </c>
      <c r="AH94" s="56">
        <f t="shared" si="118"/>
        <v>-0.1605155911027154</v>
      </c>
      <c r="AI94" s="15">
        <f t="shared" si="119"/>
        <v>0.7853981633974483</v>
      </c>
      <c r="AJ94" s="15">
        <f t="shared" si="120"/>
        <v>0</v>
      </c>
      <c r="AK94" s="57">
        <f t="shared" si="121"/>
        <v>0</v>
      </c>
      <c r="AL94" s="57">
        <f t="shared" si="155"/>
        <v>0</v>
      </c>
      <c r="AM94" s="58">
        <f t="shared" si="156"/>
        <v>-254.47218275438107</v>
      </c>
      <c r="AN94" s="59">
        <f t="shared" si="157"/>
        <v>0</v>
      </c>
      <c r="AO94" s="60">
        <f t="shared" si="158"/>
        <v>-260.4721827543811</v>
      </c>
      <c r="AP94" s="59">
        <f t="shared" si="122"/>
        <v>0</v>
      </c>
      <c r="AQ94" s="59">
        <f t="shared" si="123"/>
        <v>0</v>
      </c>
      <c r="AR94" s="61">
        <f t="shared" si="124"/>
        <v>0</v>
      </c>
      <c r="AS94" s="59">
        <f t="shared" si="125"/>
        <v>0</v>
      </c>
      <c r="AT94" s="60">
        <f t="shared" si="126"/>
        <v>-254.47218275438107</v>
      </c>
      <c r="AU94" s="59">
        <f t="shared" si="148"/>
        <v>0</v>
      </c>
      <c r="AV94" s="60">
        <f t="shared" si="127"/>
        <v>-254.47218275438107</v>
      </c>
      <c r="AW94" s="59">
        <f t="shared" si="128"/>
        <v>0</v>
      </c>
      <c r="AX94" s="59">
        <f t="shared" si="129"/>
        <v>0</v>
      </c>
      <c r="AY94" s="59">
        <f t="shared" si="130"/>
        <v>0</v>
      </c>
      <c r="AZ94" s="59">
        <f t="shared" si="131"/>
        <v>0</v>
      </c>
      <c r="BA94" s="59">
        <f t="shared" si="132"/>
        <v>0</v>
      </c>
      <c r="BB94" s="60" t="b">
        <f t="shared" si="133"/>
        <v>0</v>
      </c>
      <c r="BC94" s="60" t="b">
        <f t="shared" si="134"/>
        <v>0</v>
      </c>
      <c r="BD94" s="15" t="b">
        <f t="shared" si="135"/>
        <v>0</v>
      </c>
      <c r="BE94" s="15">
        <f t="shared" si="136"/>
        <v>-0.16045638414434069</v>
      </c>
      <c r="BF94" s="103">
        <f t="shared" si="137"/>
        <v>0</v>
      </c>
      <c r="BG94" s="103">
        <f t="shared" si="143"/>
        <v>0</v>
      </c>
      <c r="BH94" s="104">
        <f t="shared" si="149"/>
        <v>89</v>
      </c>
      <c r="BI94" s="105">
        <f t="shared" si="138"/>
        <v>0</v>
      </c>
      <c r="BJ94" s="51">
        <v>4</v>
      </c>
      <c r="BK94" s="60">
        <f t="shared" si="150"/>
        <v>0</v>
      </c>
      <c r="BL94" s="106">
        <f t="shared" si="144"/>
        <v>0</v>
      </c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"/>
      <c r="FC94" s="1"/>
      <c r="FD94" s="1"/>
      <c r="FE94" s="1"/>
      <c r="FF94" s="1"/>
    </row>
    <row r="95" spans="1:162" ht="12.75">
      <c r="A95" s="15"/>
      <c r="B95" s="15"/>
      <c r="C95" s="15"/>
      <c r="D95" s="15"/>
      <c r="E95" s="15"/>
      <c r="F95" s="15">
        <f aca="true" t="shared" si="159" ref="F95:F105">F94+1</f>
        <v>90</v>
      </c>
      <c r="G95" s="15">
        <f t="shared" si="139"/>
        <v>1.53</v>
      </c>
      <c r="H95" s="88">
        <v>1</v>
      </c>
      <c r="I95" s="15">
        <f t="shared" si="110"/>
        <v>-12</v>
      </c>
      <c r="J95" s="15">
        <f t="shared" si="106"/>
        <v>35.280899999999995</v>
      </c>
      <c r="K95" s="15">
        <f t="shared" si="107"/>
        <v>1.6959952830123137</v>
      </c>
      <c r="L95" s="15">
        <f t="shared" si="151"/>
        <v>7</v>
      </c>
      <c r="M95" s="15">
        <f t="shared" si="108"/>
        <v>1.53</v>
      </c>
      <c r="N95" s="15">
        <f t="shared" si="109"/>
        <v>2.1293968921376973</v>
      </c>
      <c r="O95" s="15">
        <f t="shared" si="111"/>
        <v>0.7853981633974483</v>
      </c>
      <c r="P95" s="15">
        <f t="shared" si="152"/>
        <v>9.18</v>
      </c>
      <c r="Q95" s="15">
        <f t="shared" si="153"/>
        <v>0</v>
      </c>
      <c r="R95" s="15">
        <f t="shared" si="112"/>
        <v>0.53</v>
      </c>
      <c r="S95" s="110">
        <f t="shared" si="97"/>
        <v>10.495398163397448</v>
      </c>
      <c r="T95" s="111">
        <f t="shared" si="146"/>
        <v>1.53</v>
      </c>
      <c r="U95" s="112">
        <f t="shared" si="98"/>
        <v>10.495398163397448</v>
      </c>
      <c r="V95" s="15"/>
      <c r="W95" s="88">
        <f t="shared" si="140"/>
        <v>17.280000000000012</v>
      </c>
      <c r="X95" s="88">
        <f t="shared" si="141"/>
        <v>97.28000000000002</v>
      </c>
      <c r="Y95" s="56">
        <f t="shared" si="142"/>
        <v>-0.11995125194805212</v>
      </c>
      <c r="Z95" s="56">
        <f t="shared" si="113"/>
        <v>-0.11995125194805212</v>
      </c>
      <c r="AA95" s="15">
        <f t="shared" si="154"/>
        <v>1.0000510204081632</v>
      </c>
      <c r="AB95" s="15">
        <f t="shared" si="115"/>
        <v>-11.984000696400742</v>
      </c>
      <c r="AC95" s="15">
        <f t="shared" si="99"/>
        <v>36.25429080674001</v>
      </c>
      <c r="AD95" s="15">
        <f t="shared" si="100"/>
        <v>0</v>
      </c>
      <c r="AE95" s="15">
        <f t="shared" si="101"/>
        <v>5.991694649493764</v>
      </c>
      <c r="AF95" s="15">
        <f t="shared" si="116"/>
        <v>-0.16274907087300744</v>
      </c>
      <c r="AG95" s="15">
        <f t="shared" si="117"/>
        <v>1.5707963267948966</v>
      </c>
      <c r="AH95" s="56">
        <f t="shared" si="118"/>
        <v>-0.16280839480519482</v>
      </c>
      <c r="AI95" s="15">
        <f t="shared" si="119"/>
        <v>0.7853981633974483</v>
      </c>
      <c r="AJ95" s="15">
        <f t="shared" si="120"/>
        <v>0</v>
      </c>
      <c r="AK95" s="57">
        <f t="shared" si="121"/>
        <v>0</v>
      </c>
      <c r="AL95" s="57">
        <f t="shared" si="155"/>
        <v>0</v>
      </c>
      <c r="AM95" s="58">
        <f t="shared" si="156"/>
        <v>-254.7931752727282</v>
      </c>
      <c r="AN95" s="59">
        <f t="shared" si="157"/>
        <v>0</v>
      </c>
      <c r="AO95" s="60">
        <f t="shared" si="158"/>
        <v>-260.7931752727282</v>
      </c>
      <c r="AP95" s="59">
        <f t="shared" si="122"/>
        <v>0</v>
      </c>
      <c r="AQ95" s="59">
        <f t="shared" si="123"/>
        <v>0</v>
      </c>
      <c r="AR95" s="61">
        <f t="shared" si="124"/>
        <v>0</v>
      </c>
      <c r="AS95" s="59">
        <f t="shared" si="125"/>
        <v>0</v>
      </c>
      <c r="AT95" s="60">
        <f t="shared" si="126"/>
        <v>-254.7931752727282</v>
      </c>
      <c r="AU95" s="59">
        <f t="shared" si="148"/>
        <v>0</v>
      </c>
      <c r="AV95" s="60">
        <f t="shared" si="127"/>
        <v>-254.7931752727282</v>
      </c>
      <c r="AW95" s="59">
        <f t="shared" si="128"/>
        <v>0</v>
      </c>
      <c r="AX95" s="59">
        <f t="shared" si="129"/>
        <v>0</v>
      </c>
      <c r="AY95" s="59">
        <f t="shared" si="130"/>
        <v>0</v>
      </c>
      <c r="AZ95" s="59">
        <f t="shared" si="131"/>
        <v>0</v>
      </c>
      <c r="BA95" s="59">
        <f t="shared" si="132"/>
        <v>0</v>
      </c>
      <c r="BB95" s="60" t="b">
        <f t="shared" si="133"/>
        <v>0</v>
      </c>
      <c r="BC95" s="60" t="b">
        <f t="shared" si="134"/>
        <v>0</v>
      </c>
      <c r="BD95" s="15" t="b">
        <f t="shared" si="135"/>
        <v>0</v>
      </c>
      <c r="BE95" s="15">
        <f t="shared" si="136"/>
        <v>-0.16274907087300744</v>
      </c>
      <c r="BF95" s="103">
        <f t="shared" si="137"/>
        <v>0</v>
      </c>
      <c r="BG95" s="103">
        <f t="shared" si="143"/>
        <v>0</v>
      </c>
      <c r="BH95" s="104">
        <f t="shared" si="149"/>
        <v>90</v>
      </c>
      <c r="BI95" s="105">
        <f t="shared" si="138"/>
        <v>0</v>
      </c>
      <c r="BJ95" s="51">
        <v>2</v>
      </c>
      <c r="BK95" s="60">
        <f t="shared" si="150"/>
        <v>0</v>
      </c>
      <c r="BL95" s="106">
        <f t="shared" si="144"/>
        <v>0</v>
      </c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"/>
      <c r="FC95" s="1"/>
      <c r="FD95" s="1"/>
      <c r="FE95" s="1"/>
      <c r="FF95" s="1"/>
    </row>
    <row r="96" spans="1:162" ht="12.75">
      <c r="A96" s="15"/>
      <c r="B96" s="15"/>
      <c r="C96" s="15"/>
      <c r="D96" s="15"/>
      <c r="E96" s="15"/>
      <c r="F96" s="15">
        <f t="shared" si="159"/>
        <v>91</v>
      </c>
      <c r="G96" s="15">
        <f t="shared" si="139"/>
        <v>1.547</v>
      </c>
      <c r="H96" s="88">
        <v>1</v>
      </c>
      <c r="I96" s="15">
        <f t="shared" si="110"/>
        <v>-12</v>
      </c>
      <c r="J96" s="15">
        <f t="shared" si="106"/>
        <v>35.299209</v>
      </c>
      <c r="K96" s="15">
        <f t="shared" si="107"/>
        <v>1.6742652119661359</v>
      </c>
      <c r="L96" s="15">
        <f t="shared" si="151"/>
        <v>7</v>
      </c>
      <c r="M96" s="15">
        <f t="shared" si="108"/>
        <v>1.547</v>
      </c>
      <c r="N96" s="15">
        <f t="shared" si="109"/>
        <v>2.149572689645467</v>
      </c>
      <c r="O96" s="15">
        <f t="shared" si="111"/>
        <v>0.7853981633974483</v>
      </c>
      <c r="P96" s="15">
        <f t="shared" si="152"/>
        <v>9.282</v>
      </c>
      <c r="Q96" s="15">
        <f t="shared" si="153"/>
        <v>0</v>
      </c>
      <c r="R96" s="15">
        <f t="shared" si="112"/>
        <v>0.5469999999999999</v>
      </c>
      <c r="S96" s="110">
        <f t="shared" si="97"/>
        <v>10.61439816339745</v>
      </c>
      <c r="T96" s="111">
        <f t="shared" si="146"/>
        <v>1.547</v>
      </c>
      <c r="U96" s="112">
        <f t="shared" si="98"/>
        <v>10.61439816339745</v>
      </c>
      <c r="V96" s="15"/>
      <c r="W96" s="88">
        <f t="shared" si="140"/>
        <v>17.472000000000012</v>
      </c>
      <c r="X96" s="88">
        <f t="shared" si="141"/>
        <v>97.47200000000001</v>
      </c>
      <c r="Y96" s="56">
        <f t="shared" si="142"/>
        <v>-0.12224893022904393</v>
      </c>
      <c r="Z96" s="56">
        <f t="shared" si="113"/>
        <v>-0.12224893022904393</v>
      </c>
      <c r="AA96" s="15">
        <f t="shared" si="154"/>
        <v>1.0000510204081632</v>
      </c>
      <c r="AB96" s="15">
        <f t="shared" si="115"/>
        <v>-11.9839678724253</v>
      </c>
      <c r="AC96" s="15">
        <f t="shared" si="99"/>
        <v>36.259442661400236</v>
      </c>
      <c r="AD96" s="15">
        <f t="shared" si="100"/>
        <v>0</v>
      </c>
      <c r="AE96" s="15">
        <f t="shared" si="101"/>
        <v>5.991678238343347</v>
      </c>
      <c r="AF96" s="15">
        <f t="shared" si="116"/>
        <v>-0.16504663193149627</v>
      </c>
      <c r="AG96" s="15">
        <f t="shared" si="117"/>
        <v>1.5707963267948966</v>
      </c>
      <c r="AH96" s="56">
        <f t="shared" si="118"/>
        <v>-0.16510607308618663</v>
      </c>
      <c r="AI96" s="15">
        <f t="shared" si="119"/>
        <v>0.7853981633974483</v>
      </c>
      <c r="AJ96" s="15">
        <f t="shared" si="120"/>
        <v>0</v>
      </c>
      <c r="AK96" s="57">
        <f t="shared" si="121"/>
        <v>0</v>
      </c>
      <c r="AL96" s="57">
        <f t="shared" si="155"/>
        <v>0</v>
      </c>
      <c r="AM96" s="58">
        <f t="shared" si="156"/>
        <v>-255.11485023206706</v>
      </c>
      <c r="AN96" s="59">
        <f t="shared" si="157"/>
        <v>0</v>
      </c>
      <c r="AO96" s="60">
        <f t="shared" si="158"/>
        <v>-261.11485023206706</v>
      </c>
      <c r="AP96" s="59">
        <f t="shared" si="122"/>
        <v>0</v>
      </c>
      <c r="AQ96" s="59">
        <f t="shared" si="123"/>
        <v>0</v>
      </c>
      <c r="AR96" s="61">
        <f t="shared" si="124"/>
        <v>0</v>
      </c>
      <c r="AS96" s="59">
        <f t="shared" si="125"/>
        <v>0</v>
      </c>
      <c r="AT96" s="60">
        <f t="shared" si="126"/>
        <v>-255.11485023206706</v>
      </c>
      <c r="AU96" s="59">
        <f t="shared" si="148"/>
        <v>0</v>
      </c>
      <c r="AV96" s="60">
        <f t="shared" si="127"/>
        <v>-255.11485023206706</v>
      </c>
      <c r="AW96" s="59">
        <f t="shared" si="128"/>
        <v>0</v>
      </c>
      <c r="AX96" s="59">
        <f t="shared" si="129"/>
        <v>0</v>
      </c>
      <c r="AY96" s="59">
        <f t="shared" si="130"/>
        <v>0</v>
      </c>
      <c r="AZ96" s="59">
        <f t="shared" si="131"/>
        <v>0</v>
      </c>
      <c r="BA96" s="59">
        <f t="shared" si="132"/>
        <v>0</v>
      </c>
      <c r="BB96" s="60" t="b">
        <f t="shared" si="133"/>
        <v>0</v>
      </c>
      <c r="BC96" s="60" t="b">
        <f t="shared" si="134"/>
        <v>0</v>
      </c>
      <c r="BD96" s="15" t="b">
        <f t="shared" si="135"/>
        <v>0</v>
      </c>
      <c r="BE96" s="15">
        <f t="shared" si="136"/>
        <v>-0.16504663193149627</v>
      </c>
      <c r="BF96" s="103">
        <f t="shared" si="137"/>
        <v>0</v>
      </c>
      <c r="BG96" s="103">
        <f t="shared" si="143"/>
        <v>0</v>
      </c>
      <c r="BH96" s="104">
        <f t="shared" si="149"/>
        <v>91</v>
      </c>
      <c r="BI96" s="105">
        <f t="shared" si="138"/>
        <v>0</v>
      </c>
      <c r="BJ96" s="51">
        <v>4</v>
      </c>
      <c r="BK96" s="60">
        <f t="shared" si="150"/>
        <v>0</v>
      </c>
      <c r="BL96" s="106">
        <f t="shared" si="144"/>
        <v>0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"/>
      <c r="FC96" s="1"/>
      <c r="FD96" s="1"/>
      <c r="FE96" s="1"/>
      <c r="FF96" s="1"/>
    </row>
    <row r="97" spans="1:162" ht="12.75">
      <c r="A97" s="15"/>
      <c r="B97" s="15"/>
      <c r="C97" s="15"/>
      <c r="D97" s="15"/>
      <c r="E97" s="15"/>
      <c r="F97" s="15">
        <f t="shared" si="159"/>
        <v>92</v>
      </c>
      <c r="G97" s="15">
        <f t="shared" si="139"/>
        <v>1.564</v>
      </c>
      <c r="H97" s="88">
        <v>1</v>
      </c>
      <c r="I97" s="15">
        <f t="shared" si="110"/>
        <v>-12</v>
      </c>
      <c r="J97" s="15">
        <f t="shared" si="106"/>
        <v>35.318096</v>
      </c>
      <c r="K97" s="15">
        <f t="shared" si="107"/>
        <v>1.6515495753988167</v>
      </c>
      <c r="L97" s="15">
        <f t="shared" si="151"/>
        <v>7</v>
      </c>
      <c r="M97" s="15">
        <f t="shared" si="108"/>
        <v>1.564</v>
      </c>
      <c r="N97" s="15">
        <f t="shared" si="109"/>
        <v>2.170018094931547</v>
      </c>
      <c r="O97" s="15">
        <f t="shared" si="111"/>
        <v>0.7853981633974483</v>
      </c>
      <c r="P97" s="15">
        <f t="shared" si="152"/>
        <v>9.384</v>
      </c>
      <c r="Q97" s="15">
        <f t="shared" si="153"/>
        <v>0</v>
      </c>
      <c r="R97" s="15">
        <f t="shared" si="112"/>
        <v>0.5640000000000001</v>
      </c>
      <c r="S97" s="110">
        <f t="shared" si="97"/>
        <v>10.73339816339745</v>
      </c>
      <c r="T97" s="111">
        <f t="shared" si="146"/>
        <v>1.564</v>
      </c>
      <c r="U97" s="112">
        <f t="shared" si="98"/>
        <v>10.73339816339745</v>
      </c>
      <c r="V97" s="15"/>
      <c r="W97" s="88">
        <f t="shared" si="140"/>
        <v>17.664000000000012</v>
      </c>
      <c r="X97" s="88">
        <f t="shared" si="141"/>
        <v>97.66400000000002</v>
      </c>
      <c r="Y97" s="56">
        <f t="shared" si="142"/>
        <v>-0.12455148308854813</v>
      </c>
      <c r="Z97" s="56">
        <f t="shared" si="113"/>
        <v>-0.12455148308854813</v>
      </c>
      <c r="AA97" s="15">
        <f t="shared" si="154"/>
        <v>1.0000510204081632</v>
      </c>
      <c r="AB97" s="15">
        <f t="shared" si="115"/>
        <v>-11.983934978813021</v>
      </c>
      <c r="AC97" s="15">
        <f t="shared" si="99"/>
        <v>36.26461603811666</v>
      </c>
      <c r="AD97" s="15">
        <f t="shared" si="100"/>
        <v>0</v>
      </c>
      <c r="AE97" s="15">
        <f t="shared" si="101"/>
        <v>5.991661792376288</v>
      </c>
      <c r="AF97" s="15">
        <f t="shared" si="116"/>
        <v>-0.16734906731980717</v>
      </c>
      <c r="AG97" s="15">
        <f t="shared" si="117"/>
        <v>1.5707963267948966</v>
      </c>
      <c r="AH97" s="56">
        <f t="shared" si="118"/>
        <v>-0.16740862594569084</v>
      </c>
      <c r="AI97" s="15">
        <f t="shared" si="119"/>
        <v>0.7853981633974483</v>
      </c>
      <c r="AJ97" s="15">
        <f t="shared" si="120"/>
        <v>0</v>
      </c>
      <c r="AK97" s="57">
        <f t="shared" si="121"/>
        <v>0</v>
      </c>
      <c r="AL97" s="57">
        <f t="shared" si="155"/>
        <v>0</v>
      </c>
      <c r="AM97" s="58">
        <f t="shared" si="156"/>
        <v>-255.43720763239764</v>
      </c>
      <c r="AN97" s="59">
        <f t="shared" si="157"/>
        <v>0</v>
      </c>
      <c r="AO97" s="60">
        <f t="shared" si="158"/>
        <v>-261.43720763239764</v>
      </c>
      <c r="AP97" s="59">
        <f t="shared" si="122"/>
        <v>0</v>
      </c>
      <c r="AQ97" s="59">
        <f t="shared" si="123"/>
        <v>0</v>
      </c>
      <c r="AR97" s="61">
        <f t="shared" si="124"/>
        <v>0</v>
      </c>
      <c r="AS97" s="59">
        <f t="shared" si="125"/>
        <v>0</v>
      </c>
      <c r="AT97" s="60">
        <f t="shared" si="126"/>
        <v>-255.43720763239764</v>
      </c>
      <c r="AU97" s="59">
        <f t="shared" si="148"/>
        <v>0</v>
      </c>
      <c r="AV97" s="60">
        <f t="shared" si="127"/>
        <v>-255.43720763239764</v>
      </c>
      <c r="AW97" s="59">
        <f t="shared" si="128"/>
        <v>0</v>
      </c>
      <c r="AX97" s="59">
        <f t="shared" si="129"/>
        <v>0</v>
      </c>
      <c r="AY97" s="59">
        <f t="shared" si="130"/>
        <v>0</v>
      </c>
      <c r="AZ97" s="59">
        <f t="shared" si="131"/>
        <v>0</v>
      </c>
      <c r="BA97" s="59">
        <f t="shared" si="132"/>
        <v>0</v>
      </c>
      <c r="BB97" s="60" t="b">
        <f t="shared" si="133"/>
        <v>0</v>
      </c>
      <c r="BC97" s="60" t="b">
        <f t="shared" si="134"/>
        <v>0</v>
      </c>
      <c r="BD97" s="15" t="b">
        <f t="shared" si="135"/>
        <v>0</v>
      </c>
      <c r="BE97" s="15">
        <f t="shared" si="136"/>
        <v>-0.16734906731980717</v>
      </c>
      <c r="BF97" s="103">
        <f t="shared" si="137"/>
        <v>0</v>
      </c>
      <c r="BG97" s="103">
        <f t="shared" si="143"/>
        <v>0</v>
      </c>
      <c r="BH97" s="104">
        <f t="shared" si="149"/>
        <v>92</v>
      </c>
      <c r="BI97" s="105">
        <f t="shared" si="138"/>
        <v>0</v>
      </c>
      <c r="BJ97" s="51">
        <v>2</v>
      </c>
      <c r="BK97" s="60">
        <f t="shared" si="150"/>
        <v>0</v>
      </c>
      <c r="BL97" s="106">
        <f t="shared" si="144"/>
        <v>0</v>
      </c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"/>
      <c r="FC97" s="1"/>
      <c r="FD97" s="1"/>
      <c r="FE97" s="1"/>
      <c r="FF97" s="1"/>
    </row>
    <row r="98" spans="1:162" ht="12.75">
      <c r="A98" s="15"/>
      <c r="B98" s="15"/>
      <c r="C98" s="15"/>
      <c r="D98" s="15"/>
      <c r="E98" s="15"/>
      <c r="F98" s="15">
        <f t="shared" si="159"/>
        <v>93</v>
      </c>
      <c r="G98" s="15">
        <f t="shared" si="139"/>
        <v>1.581</v>
      </c>
      <c r="H98" s="88">
        <v>1</v>
      </c>
      <c r="I98" s="15">
        <f t="shared" si="110"/>
        <v>-12</v>
      </c>
      <c r="J98" s="15">
        <f t="shared" si="106"/>
        <v>35.337561</v>
      </c>
      <c r="K98" s="15">
        <f t="shared" si="107"/>
        <v>1.6278071138805101</v>
      </c>
      <c r="L98" s="15">
        <f t="shared" si="151"/>
        <v>7</v>
      </c>
      <c r="M98" s="15">
        <f t="shared" si="108"/>
        <v>1.581</v>
      </c>
      <c r="N98" s="15">
        <f t="shared" si="109"/>
        <v>2.1907531262471505</v>
      </c>
      <c r="O98" s="15">
        <f t="shared" si="111"/>
        <v>0.7853981633974483</v>
      </c>
      <c r="P98" s="15">
        <f t="shared" si="152"/>
        <v>9.486</v>
      </c>
      <c r="Q98" s="15">
        <f t="shared" si="153"/>
        <v>0</v>
      </c>
      <c r="R98" s="15">
        <f t="shared" si="112"/>
        <v>0.581</v>
      </c>
      <c r="S98" s="110">
        <f t="shared" si="97"/>
        <v>10.85239816339745</v>
      </c>
      <c r="T98" s="111">
        <f t="shared" si="146"/>
        <v>1.581</v>
      </c>
      <c r="U98" s="112">
        <f t="shared" si="98"/>
        <v>10.85239816339745</v>
      </c>
      <c r="V98" s="15"/>
      <c r="W98" s="88">
        <f t="shared" si="140"/>
        <v>17.856000000000012</v>
      </c>
      <c r="X98" s="88">
        <f t="shared" si="141"/>
        <v>97.85600000000001</v>
      </c>
      <c r="Y98" s="56">
        <f t="shared" si="142"/>
        <v>-0.12685891052656473</v>
      </c>
      <c r="Z98" s="56">
        <f t="shared" si="113"/>
        <v>-0.12685891052656473</v>
      </c>
      <c r="AA98" s="15">
        <f t="shared" si="154"/>
        <v>1.0000510204081632</v>
      </c>
      <c r="AB98" s="15">
        <f t="shared" si="115"/>
        <v>-11.983902015563906</v>
      </c>
      <c r="AC98" s="15">
        <f t="shared" si="99"/>
        <v>36.26981100423312</v>
      </c>
      <c r="AD98" s="15">
        <f t="shared" si="100"/>
        <v>0</v>
      </c>
      <c r="AE98" s="15">
        <f t="shared" si="101"/>
        <v>5.9916453115925865</v>
      </c>
      <c r="AF98" s="15">
        <f t="shared" si="116"/>
        <v>-0.1696563770379402</v>
      </c>
      <c r="AG98" s="15">
        <f t="shared" si="117"/>
        <v>1.5707963267948966</v>
      </c>
      <c r="AH98" s="56">
        <f t="shared" si="118"/>
        <v>-0.16971605338370743</v>
      </c>
      <c r="AI98" s="15">
        <f t="shared" si="119"/>
        <v>0.7853981633974483</v>
      </c>
      <c r="AJ98" s="15">
        <f t="shared" si="120"/>
        <v>0</v>
      </c>
      <c r="AK98" s="57">
        <f t="shared" si="121"/>
        <v>0</v>
      </c>
      <c r="AL98" s="57">
        <f t="shared" si="155"/>
        <v>0</v>
      </c>
      <c r="AM98" s="58">
        <f t="shared" si="156"/>
        <v>-255.76024747371997</v>
      </c>
      <c r="AN98" s="59">
        <f t="shared" si="157"/>
        <v>0</v>
      </c>
      <c r="AO98" s="60">
        <f t="shared" si="158"/>
        <v>-261.76024747371997</v>
      </c>
      <c r="AP98" s="59">
        <f t="shared" si="122"/>
        <v>0</v>
      </c>
      <c r="AQ98" s="59">
        <f t="shared" si="123"/>
        <v>0</v>
      </c>
      <c r="AR98" s="61">
        <f t="shared" si="124"/>
        <v>0</v>
      </c>
      <c r="AS98" s="59">
        <f t="shared" si="125"/>
        <v>0</v>
      </c>
      <c r="AT98" s="60">
        <f t="shared" si="126"/>
        <v>-255.76024747371997</v>
      </c>
      <c r="AU98" s="59">
        <f t="shared" si="148"/>
        <v>0</v>
      </c>
      <c r="AV98" s="60">
        <f t="shared" si="127"/>
        <v>-255.76024747371997</v>
      </c>
      <c r="AW98" s="59">
        <f t="shared" si="128"/>
        <v>0</v>
      </c>
      <c r="AX98" s="59">
        <f t="shared" si="129"/>
        <v>0</v>
      </c>
      <c r="AY98" s="59">
        <f t="shared" si="130"/>
        <v>0</v>
      </c>
      <c r="AZ98" s="59">
        <f t="shared" si="131"/>
        <v>0</v>
      </c>
      <c r="BA98" s="59">
        <f t="shared" si="132"/>
        <v>0</v>
      </c>
      <c r="BB98" s="60" t="b">
        <f t="shared" si="133"/>
        <v>0</v>
      </c>
      <c r="BC98" s="60" t="b">
        <f t="shared" si="134"/>
        <v>0</v>
      </c>
      <c r="BD98" s="15" t="b">
        <f t="shared" si="135"/>
        <v>0</v>
      </c>
      <c r="BE98" s="15">
        <f t="shared" si="136"/>
        <v>-0.1696563770379402</v>
      </c>
      <c r="BF98" s="103">
        <f t="shared" si="137"/>
        <v>0</v>
      </c>
      <c r="BG98" s="103">
        <f t="shared" si="143"/>
        <v>0</v>
      </c>
      <c r="BH98" s="104">
        <f t="shared" si="149"/>
        <v>93</v>
      </c>
      <c r="BI98" s="105">
        <f t="shared" si="138"/>
        <v>0</v>
      </c>
      <c r="BJ98" s="51">
        <v>4</v>
      </c>
      <c r="BK98" s="60">
        <f t="shared" si="150"/>
        <v>0</v>
      </c>
      <c r="BL98" s="106">
        <f t="shared" si="144"/>
        <v>0</v>
      </c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"/>
      <c r="FC98" s="1"/>
      <c r="FD98" s="1"/>
      <c r="FE98" s="1"/>
      <c r="FF98" s="1"/>
    </row>
    <row r="99" spans="1:162" ht="12.75">
      <c r="A99" s="15"/>
      <c r="B99" s="15"/>
      <c r="C99" s="15"/>
      <c r="D99" s="15"/>
      <c r="E99" s="15"/>
      <c r="F99" s="15">
        <f t="shared" si="159"/>
        <v>94</v>
      </c>
      <c r="G99" s="15">
        <f t="shared" si="139"/>
        <v>1.5979999999999999</v>
      </c>
      <c r="H99" s="88">
        <v>1</v>
      </c>
      <c r="I99" s="15">
        <f t="shared" si="110"/>
        <v>-12</v>
      </c>
      <c r="J99" s="15">
        <f t="shared" si="106"/>
        <v>35.357604</v>
      </c>
      <c r="K99" s="15">
        <f t="shared" si="107"/>
        <v>1.602992202102054</v>
      </c>
      <c r="L99" s="15">
        <f t="shared" si="151"/>
        <v>7</v>
      </c>
      <c r="M99" s="15">
        <f t="shared" si="108"/>
        <v>1.5979999999999999</v>
      </c>
      <c r="N99" s="15">
        <f t="shared" si="109"/>
        <v>2.2117997723606937</v>
      </c>
      <c r="O99" s="15">
        <f t="shared" si="111"/>
        <v>0.7853981633974483</v>
      </c>
      <c r="P99" s="15">
        <f t="shared" si="152"/>
        <v>9.588</v>
      </c>
      <c r="Q99" s="15">
        <f t="shared" si="153"/>
        <v>0</v>
      </c>
      <c r="R99" s="15">
        <f t="shared" si="112"/>
        <v>0.5979999999999999</v>
      </c>
      <c r="S99" s="110">
        <f t="shared" si="97"/>
        <v>10.971398163397446</v>
      </c>
      <c r="T99" s="111">
        <f t="shared" si="146"/>
        <v>1.598</v>
      </c>
      <c r="U99" s="112">
        <f t="shared" si="98"/>
        <v>10.971398163397446</v>
      </c>
      <c r="V99" s="15"/>
      <c r="W99" s="88">
        <f t="shared" si="140"/>
        <v>18.048000000000012</v>
      </c>
      <c r="X99" s="88">
        <f t="shared" si="141"/>
        <v>98.04800000000002</v>
      </c>
      <c r="Y99" s="56">
        <f t="shared" si="142"/>
        <v>-0.12917121254309372</v>
      </c>
      <c r="Z99" s="56">
        <f t="shared" si="113"/>
        <v>-0.12917121254309372</v>
      </c>
      <c r="AA99" s="15">
        <f t="shared" si="154"/>
        <v>1.0000510204081632</v>
      </c>
      <c r="AB99" s="15">
        <f t="shared" si="115"/>
        <v>-11.983868982677956</v>
      </c>
      <c r="AC99" s="15">
        <f t="shared" si="99"/>
        <v>36.27502762723604</v>
      </c>
      <c r="AD99" s="15">
        <f t="shared" si="100"/>
        <v>0</v>
      </c>
      <c r="AE99" s="15">
        <f t="shared" si="101"/>
        <v>5.991628795992244</v>
      </c>
      <c r="AF99" s="15">
        <f t="shared" si="116"/>
        <v>-0.1719685610858953</v>
      </c>
      <c r="AG99" s="15">
        <f t="shared" si="117"/>
        <v>1.5707963267948966</v>
      </c>
      <c r="AH99" s="56">
        <f t="shared" si="118"/>
        <v>-0.17202835540023642</v>
      </c>
      <c r="AI99" s="15">
        <f t="shared" si="119"/>
        <v>0.7853981633974483</v>
      </c>
      <c r="AJ99" s="15">
        <f t="shared" si="120"/>
        <v>0</v>
      </c>
      <c r="AK99" s="57">
        <f t="shared" si="121"/>
        <v>0</v>
      </c>
      <c r="AL99" s="57">
        <f t="shared" si="155"/>
        <v>0</v>
      </c>
      <c r="AM99" s="58">
        <f t="shared" si="156"/>
        <v>-256.08396975603404</v>
      </c>
      <c r="AN99" s="59">
        <f t="shared" si="157"/>
        <v>0</v>
      </c>
      <c r="AO99" s="60">
        <f t="shared" si="158"/>
        <v>-262.08396975603404</v>
      </c>
      <c r="AP99" s="59">
        <f t="shared" si="122"/>
        <v>0</v>
      </c>
      <c r="AQ99" s="59">
        <f t="shared" si="123"/>
        <v>0</v>
      </c>
      <c r="AR99" s="61">
        <f t="shared" si="124"/>
        <v>0</v>
      </c>
      <c r="AS99" s="59">
        <f t="shared" si="125"/>
        <v>0</v>
      </c>
      <c r="AT99" s="60">
        <f t="shared" si="126"/>
        <v>-256.08396975603404</v>
      </c>
      <c r="AU99" s="59">
        <f t="shared" si="148"/>
        <v>0</v>
      </c>
      <c r="AV99" s="60">
        <f t="shared" si="127"/>
        <v>-256.08396975603404</v>
      </c>
      <c r="AW99" s="59">
        <f t="shared" si="128"/>
        <v>0</v>
      </c>
      <c r="AX99" s="59">
        <f t="shared" si="129"/>
        <v>0</v>
      </c>
      <c r="AY99" s="59">
        <f t="shared" si="130"/>
        <v>0</v>
      </c>
      <c r="AZ99" s="59">
        <f t="shared" si="131"/>
        <v>0</v>
      </c>
      <c r="BA99" s="59">
        <f t="shared" si="132"/>
        <v>0</v>
      </c>
      <c r="BB99" s="60" t="b">
        <f t="shared" si="133"/>
        <v>0</v>
      </c>
      <c r="BC99" s="60" t="b">
        <f t="shared" si="134"/>
        <v>0</v>
      </c>
      <c r="BD99" s="15" t="b">
        <f t="shared" si="135"/>
        <v>0</v>
      </c>
      <c r="BE99" s="15">
        <f t="shared" si="136"/>
        <v>-0.1719685610858953</v>
      </c>
      <c r="BF99" s="103">
        <f t="shared" si="137"/>
        <v>0</v>
      </c>
      <c r="BG99" s="103">
        <f t="shared" si="143"/>
        <v>0</v>
      </c>
      <c r="BH99" s="104">
        <f t="shared" si="149"/>
        <v>94</v>
      </c>
      <c r="BI99" s="105">
        <f t="shared" si="138"/>
        <v>0</v>
      </c>
      <c r="BJ99" s="51">
        <v>2</v>
      </c>
      <c r="BK99" s="60">
        <f t="shared" si="150"/>
        <v>0</v>
      </c>
      <c r="BL99" s="106">
        <f t="shared" si="144"/>
        <v>0</v>
      </c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"/>
      <c r="FC99" s="1"/>
      <c r="FD99" s="1"/>
      <c r="FE99" s="1"/>
      <c r="FF99" s="1"/>
    </row>
    <row r="100" spans="1:162" ht="12.75">
      <c r="A100" s="15"/>
      <c r="B100" s="15"/>
      <c r="C100" s="15"/>
      <c r="D100" s="15"/>
      <c r="E100" s="15"/>
      <c r="F100" s="15">
        <f t="shared" si="159"/>
        <v>95</v>
      </c>
      <c r="G100" s="15">
        <f t="shared" si="139"/>
        <v>1.615</v>
      </c>
      <c r="H100" s="88">
        <v>1</v>
      </c>
      <c r="I100" s="15">
        <f t="shared" si="110"/>
        <v>-12</v>
      </c>
      <c r="J100" s="15">
        <f t="shared" si="106"/>
        <v>35.378225</v>
      </c>
      <c r="K100" s="15">
        <f t="shared" si="107"/>
        <v>1.57705421593552</v>
      </c>
      <c r="L100" s="15">
        <f t="shared" si="151"/>
        <v>7</v>
      </c>
      <c r="M100" s="15">
        <f t="shared" si="108"/>
        <v>1.615</v>
      </c>
      <c r="N100" s="15">
        <f t="shared" si="109"/>
        <v>2.233182293296686</v>
      </c>
      <c r="O100" s="15">
        <f t="shared" si="111"/>
        <v>0.7853981633974483</v>
      </c>
      <c r="P100" s="15">
        <f t="shared" si="152"/>
        <v>9.69</v>
      </c>
      <c r="Q100" s="15">
        <f t="shared" si="153"/>
        <v>0</v>
      </c>
      <c r="R100" s="15">
        <f t="shared" si="112"/>
        <v>0.615</v>
      </c>
      <c r="S100" s="110">
        <f t="shared" si="97"/>
        <v>11.090398163397447</v>
      </c>
      <c r="T100" s="111">
        <f t="shared" si="146"/>
        <v>1.615</v>
      </c>
      <c r="U100" s="112">
        <f t="shared" si="98"/>
        <v>11.090398163397447</v>
      </c>
      <c r="V100" s="15"/>
      <c r="W100" s="88">
        <f t="shared" si="140"/>
        <v>18.240000000000013</v>
      </c>
      <c r="X100" s="88">
        <f t="shared" si="141"/>
        <v>98.24000000000001</v>
      </c>
      <c r="Y100" s="56">
        <f t="shared" si="142"/>
        <v>-0.1314883891381351</v>
      </c>
      <c r="Z100" s="56">
        <f t="shared" si="113"/>
        <v>-0.1314883891381351</v>
      </c>
      <c r="AA100" s="15">
        <f t="shared" si="154"/>
        <v>1.0000510204081632</v>
      </c>
      <c r="AB100" s="15">
        <f t="shared" si="115"/>
        <v>-11.98383588015517</v>
      </c>
      <c r="AC100" s="15">
        <f t="shared" si="99"/>
        <v>36.28026597475441</v>
      </c>
      <c r="AD100" s="15">
        <f t="shared" si="100"/>
        <v>0</v>
      </c>
      <c r="AE100" s="15">
        <f t="shared" si="101"/>
        <v>5.99161224557526</v>
      </c>
      <c r="AF100" s="15">
        <f t="shared" si="116"/>
        <v>-0.17428561946367252</v>
      </c>
      <c r="AG100" s="15">
        <f t="shared" si="117"/>
        <v>1.5707963267948966</v>
      </c>
      <c r="AH100" s="56">
        <f t="shared" si="118"/>
        <v>-0.1743455319952778</v>
      </c>
      <c r="AI100" s="15">
        <f t="shared" si="119"/>
        <v>0.7853981633974483</v>
      </c>
      <c r="AJ100" s="15">
        <f t="shared" si="120"/>
        <v>0</v>
      </c>
      <c r="AK100" s="57">
        <f t="shared" si="121"/>
        <v>0</v>
      </c>
      <c r="AL100" s="57">
        <f t="shared" si="155"/>
        <v>0</v>
      </c>
      <c r="AM100" s="58">
        <f t="shared" si="156"/>
        <v>-256.40837447933984</v>
      </c>
      <c r="AN100" s="59">
        <f t="shared" si="157"/>
        <v>0</v>
      </c>
      <c r="AO100" s="60">
        <f t="shared" si="158"/>
        <v>-262.40837447933984</v>
      </c>
      <c r="AP100" s="59">
        <f t="shared" si="122"/>
        <v>0</v>
      </c>
      <c r="AQ100" s="59">
        <f t="shared" si="123"/>
        <v>0</v>
      </c>
      <c r="AR100" s="61">
        <f t="shared" si="124"/>
        <v>0</v>
      </c>
      <c r="AS100" s="59">
        <f t="shared" si="125"/>
        <v>0</v>
      </c>
      <c r="AT100" s="60">
        <f t="shared" si="126"/>
        <v>-256.40837447933984</v>
      </c>
      <c r="AU100" s="59">
        <f t="shared" si="148"/>
        <v>0</v>
      </c>
      <c r="AV100" s="60">
        <f t="shared" si="127"/>
        <v>-256.40837447933984</v>
      </c>
      <c r="AW100" s="59">
        <f t="shared" si="128"/>
        <v>0</v>
      </c>
      <c r="AX100" s="59">
        <f t="shared" si="129"/>
        <v>0</v>
      </c>
      <c r="AY100" s="59">
        <f t="shared" si="130"/>
        <v>0</v>
      </c>
      <c r="AZ100" s="59">
        <f t="shared" si="131"/>
        <v>0</v>
      </c>
      <c r="BA100" s="59">
        <f t="shared" si="132"/>
        <v>0</v>
      </c>
      <c r="BB100" s="60" t="b">
        <f t="shared" si="133"/>
        <v>0</v>
      </c>
      <c r="BC100" s="60" t="b">
        <f t="shared" si="134"/>
        <v>0</v>
      </c>
      <c r="BD100" s="15" t="b">
        <f t="shared" si="135"/>
        <v>0</v>
      </c>
      <c r="BE100" s="15">
        <f t="shared" si="136"/>
        <v>-0.17428561946367252</v>
      </c>
      <c r="BF100" s="103">
        <f t="shared" si="137"/>
        <v>0</v>
      </c>
      <c r="BG100" s="103">
        <f t="shared" si="143"/>
        <v>0</v>
      </c>
      <c r="BH100" s="104">
        <f t="shared" si="149"/>
        <v>95</v>
      </c>
      <c r="BI100" s="105">
        <f t="shared" si="138"/>
        <v>0</v>
      </c>
      <c r="BJ100" s="51">
        <v>4</v>
      </c>
      <c r="BK100" s="60">
        <f t="shared" si="150"/>
        <v>0</v>
      </c>
      <c r="BL100" s="106">
        <f t="shared" si="144"/>
        <v>0</v>
      </c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"/>
      <c r="FC100" s="1"/>
      <c r="FD100" s="1"/>
      <c r="FE100" s="1"/>
      <c r="FF100" s="1"/>
    </row>
    <row r="101" spans="1:162" ht="12.75">
      <c r="A101" s="15"/>
      <c r="B101" s="15"/>
      <c r="C101" s="15"/>
      <c r="D101" s="15"/>
      <c r="E101" s="15"/>
      <c r="F101" s="15">
        <f t="shared" si="159"/>
        <v>96</v>
      </c>
      <c r="G101" s="15">
        <f t="shared" si="139"/>
        <v>1.632</v>
      </c>
      <c r="H101" s="88">
        <v>1</v>
      </c>
      <c r="I101" s="15">
        <f t="shared" si="110"/>
        <v>-12</v>
      </c>
      <c r="J101" s="15">
        <f t="shared" si="106"/>
        <v>35.399423999999996</v>
      </c>
      <c r="K101" s="15">
        <f t="shared" si="107"/>
        <v>1.5499367729039837</v>
      </c>
      <c r="L101" s="15">
        <f t="shared" si="151"/>
        <v>7</v>
      </c>
      <c r="M101" s="15">
        <f t="shared" si="108"/>
        <v>1.632</v>
      </c>
      <c r="N101" s="15">
        <f t="shared" si="109"/>
        <v>2.2549275815611507</v>
      </c>
      <c r="O101" s="15">
        <f>IF(G101&lt;=R,R^2/2*N101-(R-G101)^2*TAN(N101)/2,N$2)</f>
        <v>0.7853981633974483</v>
      </c>
      <c r="P101" s="15">
        <f t="shared" si="152"/>
        <v>9.792</v>
      </c>
      <c r="Q101" s="15">
        <f t="shared" si="153"/>
        <v>0</v>
      </c>
      <c r="R101" s="15">
        <f t="shared" si="112"/>
        <v>0.6319999999999999</v>
      </c>
      <c r="S101" s="110">
        <f t="shared" si="97"/>
        <v>11.209398163397447</v>
      </c>
      <c r="T101" s="111">
        <f t="shared" si="146"/>
        <v>1.632</v>
      </c>
      <c r="U101" s="112">
        <f t="shared" si="98"/>
        <v>11.209398163397447</v>
      </c>
      <c r="V101" s="15"/>
      <c r="W101" s="88">
        <f t="shared" si="140"/>
        <v>18.432000000000013</v>
      </c>
      <c r="X101" s="88">
        <f t="shared" si="141"/>
        <v>98.43200000000002</v>
      </c>
      <c r="Y101" s="56">
        <f t="shared" si="142"/>
        <v>-0.13381044031168887</v>
      </c>
      <c r="Z101" s="56">
        <f>IF(AND(R=0,Y101&gt;h),h,Y101)</f>
        <v>-0.13381044031168887</v>
      </c>
      <c r="AA101" s="15">
        <f t="shared" si="154"/>
        <v>1.0000510204081632</v>
      </c>
      <c r="AB101" s="15">
        <f t="shared" si="115"/>
        <v>-11.983802707995547</v>
      </c>
      <c r="AC101" s="15">
        <f t="shared" si="99"/>
        <v>36.28552611455979</v>
      </c>
      <c r="AD101" s="15">
        <f t="shared" si="100"/>
        <v>0</v>
      </c>
      <c r="AE101" s="15">
        <f t="shared" si="101"/>
        <v>5.991595660341634</v>
      </c>
      <c r="AF101" s="15">
        <f>Z101+DT*AE101</f>
        <v>-0.17660755217127183</v>
      </c>
      <c r="AG101" s="15">
        <f>IF(AND(AF101&gt;0,AF101&lt;=R),ACOS((R-AF101)/R),PI()/2)</f>
        <v>1.5707963267948966</v>
      </c>
      <c r="AH101" s="56">
        <f t="shared" si="118"/>
        <v>-0.17666758316883158</v>
      </c>
      <c r="AI101" s="15">
        <f t="shared" si="119"/>
        <v>0.7853981633974483</v>
      </c>
      <c r="AJ101" s="15">
        <f t="shared" si="120"/>
        <v>0</v>
      </c>
      <c r="AK101" s="57">
        <f>IF(AND(AF101&gt;0,AH101&gt;=0),AI101-AJ101,IF(AND(AH101&gt;h,AF101&gt;=R),N$2,0))</f>
        <v>0</v>
      </c>
      <c r="AL101" s="57">
        <f t="shared" si="155"/>
        <v>0</v>
      </c>
      <c r="AM101" s="58">
        <f t="shared" si="156"/>
        <v>-256.7334616436373</v>
      </c>
      <c r="AN101" s="59">
        <f t="shared" si="157"/>
        <v>0</v>
      </c>
      <c r="AO101" s="60">
        <f t="shared" si="158"/>
        <v>-262.7334616436373</v>
      </c>
      <c r="AP101" s="59">
        <f>IF(AND(Y101&gt;=h,AH101&gt;0,AH101&lt;h),bz*h+(h-AH101)*AO101/2,0)</f>
        <v>0</v>
      </c>
      <c r="AQ101" s="59">
        <f t="shared" si="123"/>
        <v>0</v>
      </c>
      <c r="AR101" s="61">
        <f t="shared" si="124"/>
        <v>0</v>
      </c>
      <c r="AS101" s="59">
        <f t="shared" si="125"/>
        <v>0</v>
      </c>
      <c r="AT101" s="60">
        <f t="shared" si="126"/>
        <v>-256.7334616436373</v>
      </c>
      <c r="AU101" s="59">
        <f t="shared" si="148"/>
        <v>0</v>
      </c>
      <c r="AV101" s="60">
        <f t="shared" si="127"/>
        <v>-256.7334616436373</v>
      </c>
      <c r="AW101" s="59">
        <f>IF(AF101&gt;=R,-AP$1,IF(OR(AH101&lt;h,beta=0),0,-(AH101-h)*(AV101-bz)/2))</f>
        <v>0</v>
      </c>
      <c r="AX101" s="59">
        <f t="shared" si="129"/>
        <v>0</v>
      </c>
      <c r="AY101" s="59">
        <f t="shared" si="130"/>
        <v>0</v>
      </c>
      <c r="AZ101" s="59">
        <f t="shared" si="131"/>
        <v>0</v>
      </c>
      <c r="BA101" s="59">
        <f t="shared" si="132"/>
        <v>0</v>
      </c>
      <c r="BB101" s="60" t="b">
        <f t="shared" si="133"/>
        <v>0</v>
      </c>
      <c r="BC101" s="60" t="b">
        <f t="shared" si="134"/>
        <v>0</v>
      </c>
      <c r="BD101" s="15" t="b">
        <f t="shared" si="135"/>
        <v>0</v>
      </c>
      <c r="BE101" s="15">
        <f t="shared" si="136"/>
        <v>-0.17660755217127183</v>
      </c>
      <c r="BF101" s="103">
        <f>IF(AND(hmx=hmw,R=0,AF101&gt;0,AH101&gt;0),(Z101+BE101)*bz/2,(AR101+AS101))</f>
        <v>0</v>
      </c>
      <c r="BG101" s="103">
        <f t="shared" si="143"/>
        <v>0</v>
      </c>
      <c r="BH101" s="104">
        <f t="shared" si="149"/>
        <v>96</v>
      </c>
      <c r="BI101" s="105">
        <f t="shared" si="138"/>
        <v>0</v>
      </c>
      <c r="BJ101" s="51">
        <v>2</v>
      </c>
      <c r="BK101" s="60">
        <f t="shared" si="150"/>
        <v>0</v>
      </c>
      <c r="BL101" s="106">
        <f t="shared" si="144"/>
        <v>0</v>
      </c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"/>
      <c r="FC101" s="1"/>
      <c r="FD101" s="1"/>
      <c r="FE101" s="1"/>
      <c r="FF101" s="1"/>
    </row>
    <row r="102" spans="1:162" ht="12.75">
      <c r="A102" s="15"/>
      <c r="B102" s="15"/>
      <c r="C102" s="15"/>
      <c r="D102" s="15"/>
      <c r="E102" s="15"/>
      <c r="F102" s="15">
        <f t="shared" si="159"/>
        <v>97</v>
      </c>
      <c r="G102" s="15">
        <f>hmx*F102/100</f>
        <v>1.649</v>
      </c>
      <c r="H102" s="88">
        <v>1</v>
      </c>
      <c r="I102" s="15">
        <f t="shared" si="110"/>
        <v>-12</v>
      </c>
      <c r="J102" s="15">
        <f t="shared" si="106"/>
        <v>35.421200999999996</v>
      </c>
      <c r="K102" s="15">
        <f t="shared" si="107"/>
        <v>1.5215768137034733</v>
      </c>
      <c r="L102" s="15">
        <f t="shared" si="151"/>
        <v>7</v>
      </c>
      <c r="M102" s="15">
        <f t="shared" si="108"/>
        <v>1.649</v>
      </c>
      <c r="N102" s="15">
        <f t="shared" si="109"/>
        <v>2.2770655994708626</v>
      </c>
      <c r="O102" s="15">
        <f>IF(G102&lt;=R,R^2/2*N102-(R-G102)^2*TAN(N102)/2,N$2)</f>
        <v>0.7853981633974483</v>
      </c>
      <c r="P102" s="15">
        <f t="shared" si="152"/>
        <v>9.894</v>
      </c>
      <c r="Q102" s="15">
        <f t="shared" si="153"/>
        <v>0</v>
      </c>
      <c r="R102" s="15">
        <f t="shared" si="112"/>
        <v>0.649</v>
      </c>
      <c r="S102" s="110">
        <f t="shared" si="97"/>
        <v>11.328398163397448</v>
      </c>
      <c r="T102" s="111">
        <f t="shared" si="146"/>
        <v>1.649</v>
      </c>
      <c r="U102" s="112">
        <f t="shared" si="98"/>
        <v>11.328398163397448</v>
      </c>
      <c r="V102" s="15"/>
      <c r="W102" s="88">
        <f t="shared" si="140"/>
        <v>18.624000000000013</v>
      </c>
      <c r="X102" s="88">
        <f t="shared" si="141"/>
        <v>98.62400000000001</v>
      </c>
      <c r="Y102" s="56">
        <f t="shared" si="142"/>
        <v>-0.13613736606375504</v>
      </c>
      <c r="Z102" s="56">
        <f>IF(AND(R=0,Y102&gt;h),h,Y102)</f>
        <v>-0.13613736606375504</v>
      </c>
      <c r="AA102" s="15">
        <f t="shared" si="154"/>
        <v>1.0000510204081632</v>
      </c>
      <c r="AB102" s="15">
        <f t="shared" si="115"/>
        <v>-11.983769466199089</v>
      </c>
      <c r="AC102" s="15">
        <f t="shared" si="99"/>
        <v>36.29080811456629</v>
      </c>
      <c r="AD102" s="15">
        <f t="shared" si="100"/>
        <v>0</v>
      </c>
      <c r="AE102" s="15">
        <f t="shared" si="101"/>
        <v>5.9915790402913665</v>
      </c>
      <c r="AF102" s="15">
        <f>Z102+DT*AE102</f>
        <v>-0.17893435920869322</v>
      </c>
      <c r="AG102" s="15">
        <f>IF(AND(AF102&gt;0,AF102&lt;=R),ACOS((R-AF102)/R),PI()/2)</f>
        <v>1.5707963267948966</v>
      </c>
      <c r="AH102" s="56">
        <f t="shared" si="118"/>
        <v>-0.17899450892089774</v>
      </c>
      <c r="AI102" s="15">
        <f t="shared" si="119"/>
        <v>0.7853981633974483</v>
      </c>
      <c r="AJ102" s="15">
        <f t="shared" si="120"/>
        <v>0</v>
      </c>
      <c r="AK102" s="57">
        <f>IF(AND(AF102&gt;0,AH102&gt;=0),AI102-AJ102,IF(AND(AH102&gt;h,AF102&gt;=R),N$2,0))</f>
        <v>0</v>
      </c>
      <c r="AL102" s="57">
        <f t="shared" si="155"/>
        <v>0</v>
      </c>
      <c r="AM102" s="58">
        <f t="shared" si="156"/>
        <v>-257.0592312489266</v>
      </c>
      <c r="AN102" s="59">
        <f t="shared" si="157"/>
        <v>0</v>
      </c>
      <c r="AO102" s="60">
        <f t="shared" si="158"/>
        <v>-263.0592312489266</v>
      </c>
      <c r="AP102" s="59">
        <f>IF(AND(Y102&gt;=h,AH102&gt;0,AH102&lt;h),bz*h+(h-AH102)*AO102/2,0)</f>
        <v>0</v>
      </c>
      <c r="AQ102" s="59">
        <f t="shared" si="123"/>
        <v>0</v>
      </c>
      <c r="AR102" s="61">
        <f t="shared" si="124"/>
        <v>0</v>
      </c>
      <c r="AS102" s="59">
        <f t="shared" si="125"/>
        <v>0</v>
      </c>
      <c r="AT102" s="60">
        <f t="shared" si="126"/>
        <v>-257.0592312489266</v>
      </c>
      <c r="AU102" s="59">
        <f t="shared" si="148"/>
        <v>0</v>
      </c>
      <c r="AV102" s="60">
        <f t="shared" si="127"/>
        <v>-257.0592312489266</v>
      </c>
      <c r="AW102" s="59">
        <f>IF(AF102&gt;=R,-AP$1,IF(OR(AH102&lt;h,beta=0),0,-(AH102-h)*(AV102-bz)/2))</f>
        <v>0</v>
      </c>
      <c r="AX102" s="59">
        <f t="shared" si="129"/>
        <v>0</v>
      </c>
      <c r="AY102" s="59">
        <f t="shared" si="130"/>
        <v>0</v>
      </c>
      <c r="AZ102" s="59">
        <f t="shared" si="131"/>
        <v>0</v>
      </c>
      <c r="BA102" s="59">
        <f t="shared" si="132"/>
        <v>0</v>
      </c>
      <c r="BB102" s="60" t="b">
        <f t="shared" si="133"/>
        <v>0</v>
      </c>
      <c r="BC102" s="60" t="b">
        <f t="shared" si="134"/>
        <v>0</v>
      </c>
      <c r="BD102" s="15" t="b">
        <f t="shared" si="135"/>
        <v>0</v>
      </c>
      <c r="BE102" s="15">
        <f t="shared" si="136"/>
        <v>-0.17893435920869322</v>
      </c>
      <c r="BF102" s="103">
        <f>IF(AND(hmx=hmw,R=0,AF102&gt;0,AH102&gt;0),(Z102+BE102)*bz/2,(AR102+AS102))</f>
        <v>0</v>
      </c>
      <c r="BG102" s="103">
        <f t="shared" si="143"/>
        <v>0</v>
      </c>
      <c r="BH102" s="104">
        <f t="shared" si="149"/>
        <v>97</v>
      </c>
      <c r="BI102" s="105">
        <f t="shared" si="138"/>
        <v>0</v>
      </c>
      <c r="BJ102" s="51">
        <v>4</v>
      </c>
      <c r="BK102" s="60">
        <f t="shared" si="150"/>
        <v>0</v>
      </c>
      <c r="BL102" s="106">
        <f t="shared" si="144"/>
        <v>0</v>
      </c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"/>
      <c r="FC102" s="1"/>
      <c r="FD102" s="1"/>
      <c r="FE102" s="1"/>
      <c r="FF102" s="1"/>
    </row>
    <row r="103" spans="1:162" ht="12.75">
      <c r="A103" s="15"/>
      <c r="B103" s="15"/>
      <c r="C103" s="15"/>
      <c r="D103" s="15"/>
      <c r="E103" s="15"/>
      <c r="F103" s="15">
        <f t="shared" si="159"/>
        <v>98</v>
      </c>
      <c r="G103" s="15">
        <f>hmx*F103/100</f>
        <v>1.666</v>
      </c>
      <c r="H103" s="88">
        <v>1</v>
      </c>
      <c r="I103" s="15">
        <f t="shared" si="110"/>
        <v>-12</v>
      </c>
      <c r="J103" s="15">
        <f t="shared" si="106"/>
        <v>35.443556</v>
      </c>
      <c r="K103" s="15">
        <f t="shared" si="107"/>
        <v>1.4919034821328074</v>
      </c>
      <c r="L103" s="15">
        <f t="shared" si="151"/>
        <v>7</v>
      </c>
      <c r="M103" s="15">
        <f t="shared" si="108"/>
        <v>1.666</v>
      </c>
      <c r="N103" s="15">
        <f t="shared" si="109"/>
        <v>2.2996299131967657</v>
      </c>
      <c r="O103" s="15">
        <f>IF(G103&lt;=R,R^2/2*N103-(R-G103)^2*TAN(N103)/2,N$2)</f>
        <v>0.7853981633974483</v>
      </c>
      <c r="P103" s="15">
        <f t="shared" si="152"/>
        <v>9.995999999999999</v>
      </c>
      <c r="Q103" s="15">
        <f t="shared" si="153"/>
        <v>0</v>
      </c>
      <c r="R103" s="15">
        <f t="shared" si="112"/>
        <v>0.6659999999999999</v>
      </c>
      <c r="S103" s="110">
        <f t="shared" si="97"/>
        <v>11.447398163397448</v>
      </c>
      <c r="T103" s="111">
        <f t="shared" si="146"/>
        <v>1.666</v>
      </c>
      <c r="U103" s="112">
        <f t="shared" si="98"/>
        <v>11.447398163397448</v>
      </c>
      <c r="V103" s="15"/>
      <c r="W103" s="88">
        <f t="shared" si="140"/>
        <v>18.816000000000013</v>
      </c>
      <c r="X103" s="88">
        <f t="shared" si="141"/>
        <v>98.81600000000002</v>
      </c>
      <c r="Y103" s="56">
        <f t="shared" si="142"/>
        <v>-0.1384691663943336</v>
      </c>
      <c r="Z103" s="56">
        <f>IF(AND(R=0,Y103&gt;h),h,Y103)</f>
        <v>-0.1384691663943336</v>
      </c>
      <c r="AA103" s="15">
        <f t="shared" si="154"/>
        <v>1.0000510204081632</v>
      </c>
      <c r="AB103" s="15">
        <f t="shared" si="115"/>
        <v>-11.983736154765795</v>
      </c>
      <c r="AC103" s="15">
        <f t="shared" si="99"/>
        <v>36.29611204283061</v>
      </c>
      <c r="AD103" s="15">
        <f t="shared" si="100"/>
        <v>0</v>
      </c>
      <c r="AE103" s="15">
        <f t="shared" si="101"/>
        <v>5.991562385424458</v>
      </c>
      <c r="AF103" s="15">
        <f>Z103+DT*AE103</f>
        <v>-0.1812660405759367</v>
      </c>
      <c r="AG103" s="15">
        <f>IF(AND(AF103&gt;0,AF103&lt;=R),ACOS((R-AF103)/R),PI()/2)</f>
        <v>1.5707963267948966</v>
      </c>
      <c r="AH103" s="56">
        <f t="shared" si="118"/>
        <v>-0.1813263092514763</v>
      </c>
      <c r="AI103" s="15">
        <f t="shared" si="119"/>
        <v>0.7853981633974483</v>
      </c>
      <c r="AJ103" s="15">
        <f t="shared" si="120"/>
        <v>0</v>
      </c>
      <c r="AK103" s="57">
        <f>IF(AND(AF103&gt;0,AH103&gt;=0),AI103-AJ103,IF(AND(AH103&gt;h,AF103&gt;=R),N$2,0))</f>
        <v>0</v>
      </c>
      <c r="AL103" s="57">
        <f t="shared" si="155"/>
        <v>0</v>
      </c>
      <c r="AM103" s="58">
        <f t="shared" si="156"/>
        <v>-257.3856832952076</v>
      </c>
      <c r="AN103" s="59">
        <f t="shared" si="157"/>
        <v>0</v>
      </c>
      <c r="AO103" s="60">
        <f t="shared" si="158"/>
        <v>-263.3856832952076</v>
      </c>
      <c r="AP103" s="59">
        <f>IF(AND(Y103&gt;=h,AH103&gt;0,AH103&lt;h),bz*h+(h-AH103)*AO103/2,0)</f>
        <v>0</v>
      </c>
      <c r="AQ103" s="59">
        <f t="shared" si="123"/>
        <v>0</v>
      </c>
      <c r="AR103" s="61">
        <f t="shared" si="124"/>
        <v>0</v>
      </c>
      <c r="AS103" s="59">
        <f t="shared" si="125"/>
        <v>0</v>
      </c>
      <c r="AT103" s="60">
        <f t="shared" si="126"/>
        <v>-257.3856832952076</v>
      </c>
      <c r="AU103" s="59">
        <f t="shared" si="148"/>
        <v>0</v>
      </c>
      <c r="AV103" s="60">
        <f t="shared" si="127"/>
        <v>-257.3856832952076</v>
      </c>
      <c r="AW103" s="59">
        <f>IF(AF103&gt;=R,-AP$1,IF(OR(AH103&lt;h,beta=0),0,-(AH103-h)*(AV103-bz)/2))</f>
        <v>0</v>
      </c>
      <c r="AX103" s="59">
        <f t="shared" si="129"/>
        <v>0</v>
      </c>
      <c r="AY103" s="59">
        <f t="shared" si="130"/>
        <v>0</v>
      </c>
      <c r="AZ103" s="59">
        <f t="shared" si="131"/>
        <v>0</v>
      </c>
      <c r="BA103" s="59">
        <f t="shared" si="132"/>
        <v>0</v>
      </c>
      <c r="BB103" s="60" t="b">
        <f t="shared" si="133"/>
        <v>0</v>
      </c>
      <c r="BC103" s="60" t="b">
        <f t="shared" si="134"/>
        <v>0</v>
      </c>
      <c r="BD103" s="15" t="b">
        <f t="shared" si="135"/>
        <v>0</v>
      </c>
      <c r="BE103" s="15">
        <f t="shared" si="136"/>
        <v>-0.1812660405759367</v>
      </c>
      <c r="BF103" s="103">
        <f>IF(AND(hmx=hmw,R=0,AF103&gt;0,AH103&gt;0),(Z103+BE103)*bz/2,(AR103+AS103))</f>
        <v>0</v>
      </c>
      <c r="BG103" s="103">
        <f t="shared" si="143"/>
        <v>0</v>
      </c>
      <c r="BH103" s="104">
        <f t="shared" si="149"/>
        <v>98</v>
      </c>
      <c r="BI103" s="105">
        <f t="shared" si="138"/>
        <v>0</v>
      </c>
      <c r="BJ103" s="51">
        <v>2</v>
      </c>
      <c r="BK103" s="60">
        <f t="shared" si="150"/>
        <v>0</v>
      </c>
      <c r="BL103" s="106">
        <f t="shared" si="144"/>
        <v>0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"/>
      <c r="FC103" s="1"/>
      <c r="FD103" s="1"/>
      <c r="FE103" s="1"/>
      <c r="FF103" s="1"/>
    </row>
    <row r="104" spans="1:162" ht="12.75">
      <c r="A104" s="15"/>
      <c r="B104" s="15"/>
      <c r="C104" s="15"/>
      <c r="D104" s="15"/>
      <c r="E104" s="15"/>
      <c r="F104" s="15">
        <f t="shared" si="159"/>
        <v>99</v>
      </c>
      <c r="G104" s="15">
        <f>hmx*F104/100</f>
        <v>1.6829999999999998</v>
      </c>
      <c r="H104" s="88">
        <v>1</v>
      </c>
      <c r="I104" s="15">
        <f t="shared" si="110"/>
        <v>-12</v>
      </c>
      <c r="J104" s="15">
        <f t="shared" si="106"/>
        <v>35.466489</v>
      </c>
      <c r="K104" s="15">
        <f t="shared" si="107"/>
        <v>1.4608367465257672</v>
      </c>
      <c r="L104" s="15">
        <f t="shared" si="151"/>
        <v>7</v>
      </c>
      <c r="M104" s="15">
        <f t="shared" si="108"/>
        <v>1.6829999999999998</v>
      </c>
      <c r="N104" s="15">
        <f t="shared" si="109"/>
        <v>2.322658351062523</v>
      </c>
      <c r="O104" s="15">
        <f>IF(G104&lt;=R,R^2/2*N104-(R-G104)^2*TAN(N104)/2,N$2)</f>
        <v>0.7853981633974483</v>
      </c>
      <c r="P104" s="15">
        <f t="shared" si="152"/>
        <v>10.097999999999999</v>
      </c>
      <c r="Q104" s="15">
        <f t="shared" si="153"/>
        <v>0</v>
      </c>
      <c r="R104" s="15">
        <f t="shared" si="112"/>
        <v>0.6829999999999998</v>
      </c>
      <c r="S104" s="110">
        <f t="shared" si="97"/>
        <v>11.566398163397448</v>
      </c>
      <c r="T104" s="111">
        <f t="shared" si="146"/>
        <v>1.683</v>
      </c>
      <c r="U104" s="112">
        <f t="shared" si="98"/>
        <v>11.566398163397448</v>
      </c>
      <c r="V104" s="15"/>
      <c r="W104" s="88">
        <f t="shared" si="140"/>
        <v>19.008000000000013</v>
      </c>
      <c r="X104" s="88">
        <f t="shared" si="141"/>
        <v>99.00800000000001</v>
      </c>
      <c r="Y104" s="56">
        <f t="shared" si="142"/>
        <v>-0.14080584130342366</v>
      </c>
      <c r="Z104" s="56">
        <f>IF(AND(R=0,Y104&gt;h),h,Y104)</f>
        <v>-0.14080584130342366</v>
      </c>
      <c r="AA104" s="15">
        <f t="shared" si="154"/>
        <v>1.0000510204081632</v>
      </c>
      <c r="AB104" s="15">
        <f t="shared" si="115"/>
        <v>-11.983702773695665</v>
      </c>
      <c r="AC104" s="15">
        <f t="shared" si="99"/>
        <v>36.30143796755202</v>
      </c>
      <c r="AD104" s="15">
        <f t="shared" si="100"/>
        <v>0</v>
      </c>
      <c r="AE104" s="15">
        <f t="shared" si="101"/>
        <v>5.991545695740907</v>
      </c>
      <c r="AF104" s="15">
        <f>Z104+DT*AE104</f>
        <v>-0.1836025962730014</v>
      </c>
      <c r="AG104" s="15">
        <f>IF(AND(AF104&gt;0,AF104&lt;=R),ACOS((R-AF104)/R),PI()/2)</f>
        <v>1.5707963267948966</v>
      </c>
      <c r="AH104" s="56">
        <f t="shared" si="118"/>
        <v>-0.18366298416056637</v>
      </c>
      <c r="AI104" s="15">
        <f t="shared" si="119"/>
        <v>0.7853981633974483</v>
      </c>
      <c r="AJ104" s="15">
        <f t="shared" si="120"/>
        <v>0</v>
      </c>
      <c r="AK104" s="57">
        <f>IF(AND(AF104&gt;0,AH104&gt;=0),AI104-AJ104,IF(AND(AH104&gt;h,AF104&gt;=R),N$2,0))</f>
        <v>0</v>
      </c>
      <c r="AL104" s="57">
        <f t="shared" si="155"/>
        <v>0</v>
      </c>
      <c r="AM104" s="58">
        <f t="shared" si="156"/>
        <v>-257.7128177824802</v>
      </c>
      <c r="AN104" s="59">
        <f t="shared" si="157"/>
        <v>0</v>
      </c>
      <c r="AO104" s="60">
        <f t="shared" si="158"/>
        <v>-263.7128177824802</v>
      </c>
      <c r="AP104" s="59">
        <f>IF(AND(Y104&gt;=h,AH104&gt;0,AH104&lt;h),bz*h+(h-AH104)*AO104/2,0)</f>
        <v>0</v>
      </c>
      <c r="AQ104" s="59">
        <f t="shared" si="123"/>
        <v>0</v>
      </c>
      <c r="AR104" s="61">
        <f t="shared" si="124"/>
        <v>0</v>
      </c>
      <c r="AS104" s="59">
        <f t="shared" si="125"/>
        <v>0</v>
      </c>
      <c r="AT104" s="60">
        <f t="shared" si="126"/>
        <v>-257.7128177824802</v>
      </c>
      <c r="AU104" s="59">
        <f t="shared" si="148"/>
        <v>0</v>
      </c>
      <c r="AV104" s="60">
        <f t="shared" si="127"/>
        <v>-257.7128177824802</v>
      </c>
      <c r="AW104" s="59">
        <f>IF(AF104&gt;=R,-AP$1,IF(OR(AH104&lt;h,beta=0),0,-(AH104-h)*(AV104-bz)/2))</f>
        <v>0</v>
      </c>
      <c r="AX104" s="59">
        <f t="shared" si="129"/>
        <v>0</v>
      </c>
      <c r="AY104" s="59">
        <f t="shared" si="130"/>
        <v>0</v>
      </c>
      <c r="AZ104" s="59">
        <f t="shared" si="131"/>
        <v>0</v>
      </c>
      <c r="BA104" s="59">
        <f t="shared" si="132"/>
        <v>0</v>
      </c>
      <c r="BB104" s="60" t="b">
        <f t="shared" si="133"/>
        <v>0</v>
      </c>
      <c r="BC104" s="60" t="b">
        <f t="shared" si="134"/>
        <v>0</v>
      </c>
      <c r="BD104" s="15" t="b">
        <f t="shared" si="135"/>
        <v>0</v>
      </c>
      <c r="BE104" s="15">
        <f t="shared" si="136"/>
        <v>-0.1836025962730014</v>
      </c>
      <c r="BF104" s="103">
        <f>IF(AND(hmx=hmw,R=0,AF104&gt;0,AH104&gt;0),(Z104+BE104)*bz/2,(AR104+AS104))</f>
        <v>0</v>
      </c>
      <c r="BG104" s="103">
        <f t="shared" si="143"/>
        <v>0</v>
      </c>
      <c r="BH104" s="104">
        <f t="shared" si="149"/>
        <v>99</v>
      </c>
      <c r="BI104" s="105">
        <f t="shared" si="138"/>
        <v>0</v>
      </c>
      <c r="BJ104" s="51">
        <v>4</v>
      </c>
      <c r="BK104" s="60">
        <f t="shared" si="150"/>
        <v>0</v>
      </c>
      <c r="BL104" s="106">
        <f t="shared" si="144"/>
        <v>0</v>
      </c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"/>
      <c r="FC104" s="1"/>
      <c r="FD104" s="1"/>
      <c r="FE104" s="1"/>
      <c r="FF104" s="1"/>
    </row>
    <row r="105" spans="1:162" ht="13.5" thickBot="1">
      <c r="A105" s="15"/>
      <c r="B105" s="15"/>
      <c r="C105" s="15"/>
      <c r="D105" s="15"/>
      <c r="E105" s="15"/>
      <c r="F105" s="15">
        <f t="shared" si="159"/>
        <v>100</v>
      </c>
      <c r="G105" s="15">
        <f>hmx*F105/100</f>
        <v>1.7</v>
      </c>
      <c r="H105" s="88">
        <v>1</v>
      </c>
      <c r="I105" s="15">
        <f t="shared" si="110"/>
        <v>-12</v>
      </c>
      <c r="J105" s="15">
        <f t="shared" si="106"/>
        <v>35.49</v>
      </c>
      <c r="K105" s="15">
        <f t="shared" si="107"/>
        <v>1.4282856857085673</v>
      </c>
      <c r="L105" s="15">
        <f t="shared" si="151"/>
        <v>7</v>
      </c>
      <c r="M105" s="15">
        <f t="shared" si="108"/>
        <v>1.7</v>
      </c>
      <c r="N105" s="15">
        <f t="shared" si="109"/>
        <v>2.34619382340565</v>
      </c>
      <c r="O105" s="15">
        <f>IF(G105&lt;=R,R^2/2*N105-(R-G105)^2*TAN(N105)/2,N$2)</f>
        <v>0.7853981633974483</v>
      </c>
      <c r="P105" s="15">
        <f t="shared" si="152"/>
        <v>10.2</v>
      </c>
      <c r="Q105" s="15">
        <f t="shared" si="153"/>
        <v>0</v>
      </c>
      <c r="R105" s="15">
        <f t="shared" si="112"/>
        <v>0.7</v>
      </c>
      <c r="S105" s="121">
        <f t="shared" si="97"/>
        <v>11.685398163397448</v>
      </c>
      <c r="T105" s="122">
        <f t="shared" si="146"/>
        <v>1.7</v>
      </c>
      <c r="U105" s="123">
        <f t="shared" si="98"/>
        <v>11.685398163397448</v>
      </c>
      <c r="V105" s="15"/>
      <c r="W105" s="88">
        <f t="shared" si="140"/>
        <v>19.200000000000014</v>
      </c>
      <c r="X105" s="88">
        <f t="shared" si="141"/>
        <v>99.20000000000002</v>
      </c>
      <c r="Y105" s="56">
        <f t="shared" si="142"/>
        <v>-0.143147390791027</v>
      </c>
      <c r="Z105" s="56">
        <f>IF(AND(R=0,Y105&gt;h),h,Y105)</f>
        <v>-0.143147390791027</v>
      </c>
      <c r="AA105" s="15">
        <f t="shared" si="154"/>
        <v>1.0000510204081632</v>
      </c>
      <c r="AB105" s="15">
        <f t="shared" si="115"/>
        <v>-11.9836693229887</v>
      </c>
      <c r="AC105" s="15">
        <f t="shared" si="99"/>
        <v>36.306785957072336</v>
      </c>
      <c r="AD105" s="15">
        <f t="shared" si="100"/>
        <v>0</v>
      </c>
      <c r="AE105" s="15">
        <f t="shared" si="101"/>
        <v>5.991528971240716</v>
      </c>
      <c r="AF105" s="15">
        <f>Z105+DT*AE105</f>
        <v>-0.1859440262998891</v>
      </c>
      <c r="AG105" s="15">
        <f>IF(AND(AF105&gt;0,AF105&lt;=R),ACOS((R-AF105)/R),PI()/2)</f>
        <v>1.5707963267948966</v>
      </c>
      <c r="AH105" s="56">
        <f t="shared" si="118"/>
        <v>-0.1860045336481697</v>
      </c>
      <c r="AI105" s="15">
        <f t="shared" si="119"/>
        <v>0.7853981633974483</v>
      </c>
      <c r="AJ105" s="15">
        <f t="shared" si="120"/>
        <v>0</v>
      </c>
      <c r="AK105" s="57">
        <f>IF(AND(AF105&gt;0,AH105&gt;=0),AI105-AJ105,IF(AND(AH105&gt;h,AF105&gt;=R),N$2,0))</f>
        <v>0</v>
      </c>
      <c r="AL105" s="57">
        <f t="shared" si="155"/>
        <v>0</v>
      </c>
      <c r="AM105" s="58">
        <f t="shared" si="156"/>
        <v>-258.0406347107447</v>
      </c>
      <c r="AN105" s="59">
        <f t="shared" si="157"/>
        <v>0</v>
      </c>
      <c r="AO105" s="60">
        <f t="shared" si="158"/>
        <v>-264.0406347107447</v>
      </c>
      <c r="AP105" s="59">
        <f>IF(AND(Y105&gt;=h,AH105&gt;0,AH105&lt;h),bz*h+(h-AH105)*AO105/2,0)</f>
        <v>0</v>
      </c>
      <c r="AQ105" s="59">
        <f t="shared" si="123"/>
        <v>0</v>
      </c>
      <c r="AR105" s="61">
        <f t="shared" si="124"/>
        <v>0</v>
      </c>
      <c r="AS105" s="59">
        <f t="shared" si="125"/>
        <v>0</v>
      </c>
      <c r="AT105" s="60">
        <f t="shared" si="126"/>
        <v>-258.0406347107447</v>
      </c>
      <c r="AU105" s="59">
        <f t="shared" si="148"/>
        <v>0</v>
      </c>
      <c r="AV105" s="60">
        <f t="shared" si="127"/>
        <v>-258.0406347107447</v>
      </c>
      <c r="AW105" s="59">
        <f>IF(AF105&gt;=R,-AP$1,IF(OR(AH105&lt;h,beta=0),0,-(AH105-h)*(AV105-bz)/2))</f>
        <v>0</v>
      </c>
      <c r="AX105" s="59">
        <f t="shared" si="129"/>
        <v>0</v>
      </c>
      <c r="AY105" s="59">
        <f t="shared" si="130"/>
        <v>0</v>
      </c>
      <c r="AZ105" s="59">
        <f t="shared" si="131"/>
        <v>0</v>
      </c>
      <c r="BA105" s="59">
        <f t="shared" si="132"/>
        <v>0</v>
      </c>
      <c r="BB105" s="60" t="b">
        <f t="shared" si="133"/>
        <v>0</v>
      </c>
      <c r="BC105" s="60" t="b">
        <f t="shared" si="134"/>
        <v>0</v>
      </c>
      <c r="BD105" s="15" t="b">
        <f t="shared" si="135"/>
        <v>0</v>
      </c>
      <c r="BE105" s="15">
        <f t="shared" si="136"/>
        <v>-0.1859440262998891</v>
      </c>
      <c r="BF105" s="103">
        <f>IF(AND(hmx=hmw,R=0,AF105&gt;0,AH105&gt;0),(Z105+BE105)*bz/2,(AR105+AS105))</f>
        <v>0</v>
      </c>
      <c r="BG105" s="103">
        <f t="shared" si="143"/>
        <v>0</v>
      </c>
      <c r="BH105" s="104">
        <f t="shared" si="149"/>
        <v>100</v>
      </c>
      <c r="BI105" s="105">
        <f t="shared" si="138"/>
        <v>0</v>
      </c>
      <c r="BJ105" s="51">
        <v>1</v>
      </c>
      <c r="BK105" s="60">
        <f>BI105/2</f>
        <v>0</v>
      </c>
      <c r="BL105" s="106">
        <f t="shared" si="144"/>
        <v>0</v>
      </c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"/>
      <c r="FC105" s="1"/>
      <c r="FD105" s="1"/>
      <c r="FE105" s="1"/>
      <c r="FF105" s="1"/>
    </row>
    <row r="106" spans="1:162" ht="13.5" thickBot="1">
      <c r="A106" s="15"/>
      <c r="B106" s="15"/>
      <c r="C106" s="15"/>
      <c r="D106" s="15"/>
      <c r="E106" s="15"/>
      <c r="F106" s="15"/>
      <c r="G106" s="15"/>
      <c r="H106" s="88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21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56"/>
      <c r="AI106" s="15"/>
      <c r="AJ106" s="15"/>
      <c r="AK106" s="55"/>
      <c r="AL106" s="57"/>
      <c r="AM106" s="58"/>
      <c r="AN106" s="59"/>
      <c r="AO106" s="60"/>
      <c r="AP106" s="59"/>
      <c r="AQ106" s="59"/>
      <c r="AR106" s="61"/>
      <c r="AS106" s="59"/>
      <c r="AT106" s="60"/>
      <c r="AU106" s="59"/>
      <c r="AV106" s="60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124"/>
      <c r="BJ106" s="51"/>
      <c r="BK106" s="74">
        <f>SUM(BK5:BK105)</f>
        <v>3.5204112068875046</v>
      </c>
      <c r="BL106" s="52">
        <f>SUM(BL5:BL105)</f>
        <v>10.558363664377215</v>
      </c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"/>
      <c r="FC106" s="1"/>
      <c r="FD106" s="1"/>
      <c r="FE106" s="1"/>
      <c r="FF106" s="1"/>
    </row>
    <row r="107" spans="1:162" ht="13.5" thickBo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93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56"/>
      <c r="AI107" s="15"/>
      <c r="AJ107" s="15"/>
      <c r="AK107" s="55"/>
      <c r="AL107" s="57"/>
      <c r="AM107" s="58"/>
      <c r="AN107" s="59"/>
      <c r="AO107" s="60"/>
      <c r="AP107" s="59"/>
      <c r="AQ107" s="59"/>
      <c r="AR107" s="61"/>
      <c r="AS107" s="59"/>
      <c r="AT107" s="60"/>
      <c r="AU107" s="59"/>
      <c r="AV107" s="60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124"/>
      <c r="BJ107" s="51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"/>
      <c r="FC107" s="1"/>
      <c r="FD107" s="1"/>
      <c r="FE107" s="1"/>
      <c r="FF107" s="1"/>
    </row>
    <row r="108" spans="1:157" ht="13.5" thickBo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56"/>
      <c r="AI108" s="15"/>
      <c r="AJ108" s="15"/>
      <c r="AK108" s="55"/>
      <c r="AL108" s="57"/>
      <c r="AM108" s="58"/>
      <c r="AN108" s="59"/>
      <c r="AO108" s="60"/>
      <c r="AP108" s="59"/>
      <c r="AQ108" s="59"/>
      <c r="AR108" s="61"/>
      <c r="AS108" s="59"/>
      <c r="AT108" s="60"/>
      <c r="AU108" s="59"/>
      <c r="AV108" s="60"/>
      <c r="AW108" s="59"/>
      <c r="AX108" s="59"/>
      <c r="AY108" s="59"/>
      <c r="AZ108" s="59"/>
      <c r="BA108" s="59"/>
      <c r="BB108" s="59"/>
      <c r="BC108" s="125"/>
      <c r="BD108" s="59"/>
      <c r="BE108" s="59"/>
      <c r="BF108" s="126" t="s">
        <v>85</v>
      </c>
      <c r="BG108" s="126"/>
      <c r="BH108" s="126"/>
      <c r="BI108" s="124">
        <f>BK106*DL</f>
        <v>0.6759189517224009</v>
      </c>
      <c r="BJ108" s="51"/>
      <c r="BK108" s="15" t="s">
        <v>82</v>
      </c>
      <c r="BL108" s="15">
        <f>DL*BL106/3</f>
        <v>0.6757352745201417</v>
      </c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</row>
    <row r="109" spans="1:157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56"/>
      <c r="AI109" s="15"/>
      <c r="AJ109" s="15"/>
      <c r="AK109" s="55"/>
      <c r="AL109" s="57"/>
      <c r="AM109" s="58"/>
      <c r="AN109" s="59"/>
      <c r="AO109" s="60"/>
      <c r="AP109" s="59"/>
      <c r="AQ109" s="59"/>
      <c r="AR109" s="61"/>
      <c r="AS109" s="59"/>
      <c r="AT109" s="60"/>
      <c r="AU109" s="59"/>
      <c r="AV109" s="60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60"/>
      <c r="BJ109" s="51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</row>
    <row r="110" spans="1:157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56"/>
      <c r="AI110" s="15"/>
      <c r="AJ110" s="15"/>
      <c r="AK110" s="55"/>
      <c r="AL110" s="57"/>
      <c r="AM110" s="58"/>
      <c r="AN110" s="59"/>
      <c r="AO110" s="60"/>
      <c r="AP110" s="59"/>
      <c r="AQ110" s="59"/>
      <c r="AR110" s="61"/>
      <c r="AS110" s="59"/>
      <c r="AT110" s="60"/>
      <c r="AU110" s="59"/>
      <c r="AV110" s="60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51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</row>
    <row r="111" spans="1:157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56"/>
      <c r="AI111" s="15"/>
      <c r="AJ111" s="15"/>
      <c r="AK111" s="55"/>
      <c r="AL111" s="57"/>
      <c r="AM111" s="58"/>
      <c r="AN111" s="59"/>
      <c r="AO111" s="60"/>
      <c r="AP111" s="59"/>
      <c r="AQ111" s="59"/>
      <c r="AR111" s="61"/>
      <c r="AS111" s="59"/>
      <c r="AT111" s="60"/>
      <c r="AU111" s="59"/>
      <c r="AV111" s="60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60">
        <v>919</v>
      </c>
      <c r="BJ111" s="51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</row>
    <row r="112" spans="1:157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51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</row>
    <row r="113" spans="1:157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51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</row>
    <row r="114" spans="1:157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51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</row>
    <row r="115" spans="1:157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51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</row>
    <row r="116" spans="1:157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51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</row>
    <row r="117" spans="1:157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51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</row>
    <row r="118" spans="1:9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7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1:9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7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1:9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7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1:9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7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1:9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7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1:9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7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1:9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7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1:9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7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1:9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7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1:9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7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1:9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7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1:9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7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1:9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7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1:9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7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1:9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7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1:9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7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1:9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7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1:9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7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1:9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7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1:9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7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1:9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7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1:9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7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1:9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7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1:9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7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1:9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7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1:9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7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1:9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7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1:9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7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1:9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7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1:9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7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1:9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7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1:9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7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1:9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7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1:9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7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1:9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7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  <row r="153" spans="1:9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7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</row>
    <row r="154" spans="1:9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7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</row>
    <row r="155" spans="1:9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7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</row>
    <row r="156" spans="1:9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7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1:9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7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1:9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7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1:9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7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</sheetData>
  <sheetProtection password="F96B" sheet="1" objects="1" scenarios="1"/>
  <mergeCells count="2">
    <mergeCell ref="AL3:AS3"/>
    <mergeCell ref="AX4:B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Kabaciński</dc:creator>
  <cp:keywords/>
  <dc:description/>
  <cp:lastModifiedBy>Jerzy Kabaciński</cp:lastModifiedBy>
  <cp:lastPrinted>2009-01-27T17:21:56Z</cp:lastPrinted>
  <dcterms:created xsi:type="dcterms:W3CDTF">2009-01-08T16:24:26Z</dcterms:created>
  <dcterms:modified xsi:type="dcterms:W3CDTF">2011-09-28T14:44:11Z</dcterms:modified>
  <cp:category/>
  <cp:version/>
  <cp:contentType/>
  <cp:contentStatus/>
</cp:coreProperties>
</file>